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1.xml" ContentType="application/vnd.openxmlformats-officedocument.drawing+xml"/>
  <Override PartName="/xl/comments19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00177\Desktop\Wooktigravity\260630_shenzhen_restart_step_1\과거 참고데이터\26년 5월\"/>
    </mc:Choice>
  </mc:AlternateContent>
  <xr:revisionPtr revIDLastSave="0" documentId="13_ncr:1_{80EAF90E-3307-471F-86F9-B1A58BC1A595}" xr6:coauthVersionLast="47" xr6:coauthVersionMax="47" xr10:uidLastSave="{00000000-0000-0000-0000-000000000000}"/>
  <bookViews>
    <workbookView xWindow="28680" yWindow="-120" windowWidth="29040" windowHeight="15720" tabRatio="603" firstSheet="43" activeTab="43" xr2:uid="{00000000-000D-0000-FFFF-FFFF00000000}"/>
  </bookViews>
  <sheets>
    <sheet name="통장내역(환율표)" sheetId="2" state="hidden" r:id="rId1"/>
    <sheet name="내역_22.03" sheetId="1" state="hidden" r:id="rId2"/>
    <sheet name="내역_22.04" sheetId="5" state="hidden" r:id="rId3"/>
    <sheet name="내역_22.05" sheetId="8" state="hidden" r:id="rId4"/>
    <sheet name="내역_22.06" sheetId="14" state="hidden" r:id="rId5"/>
    <sheet name="내역_22.07" sheetId="16" state="hidden" r:id="rId6"/>
    <sheet name="내역_22.07 (수정)" sheetId="20" state="hidden" r:id="rId7"/>
    <sheet name="내역_22.08" sheetId="19" state="hidden" r:id="rId8"/>
    <sheet name="내역_22.09" sheetId="23" state="hidden" r:id="rId9"/>
    <sheet name="내역_22.10" sheetId="29" state="hidden" r:id="rId10"/>
    <sheet name="내역_22.11" sheetId="33" state="hidden" r:id="rId11"/>
    <sheet name="내역_22.12" sheetId="37" state="hidden" r:id="rId12"/>
    <sheet name="내역_23.01" sheetId="41" state="hidden" r:id="rId13"/>
    <sheet name="내역_23.02" sheetId="43" state="hidden" r:id="rId14"/>
    <sheet name="내역_23.03" sheetId="46" state="hidden" r:id="rId15"/>
    <sheet name="내역_23.04" sheetId="48" state="hidden" r:id="rId16"/>
    <sheet name="내역_23.05" sheetId="52" state="hidden" r:id="rId17"/>
    <sheet name="6월 업무추진비" sheetId="58" state="hidden" r:id="rId18"/>
    <sheet name="내역_23.06" sheetId="56" state="hidden" r:id="rId19"/>
    <sheet name="내역_23.07" sheetId="60" state="hidden" r:id="rId20"/>
    <sheet name="내역_23.08" sheetId="63" state="hidden" r:id="rId21"/>
    <sheet name="8월 기사 야근" sheetId="66" state="hidden" r:id="rId22"/>
    <sheet name="내역_23.09" sheetId="68" state="hidden" r:id="rId23"/>
    <sheet name="내역_23.10" sheetId="70" state="hidden" r:id="rId24"/>
    <sheet name="내역_23.11" sheetId="74" state="hidden" r:id="rId25"/>
    <sheet name="내역_23.12" sheetId="83" state="hidden" r:id="rId26"/>
    <sheet name="내역_24.01" sheetId="82" state="hidden" r:id="rId27"/>
    <sheet name="내역_24.02" sheetId="86" state="hidden" r:id="rId28"/>
    <sheet name="내역_24.03" sheetId="89" state="hidden" r:id="rId29"/>
    <sheet name="내역_24.04" sheetId="92" state="hidden" r:id="rId30"/>
    <sheet name="내역_24.05" sheetId="94" state="hidden" r:id="rId31"/>
    <sheet name="내역_24.06" sheetId="97" state="hidden" r:id="rId32"/>
    <sheet name="내역_24.07" sheetId="99" state="hidden" r:id="rId33"/>
    <sheet name="내역_24.08" sheetId="102" state="hidden" r:id="rId34"/>
    <sheet name="내역_24.09" sheetId="104" state="hidden" r:id="rId35"/>
    <sheet name="내역_24.10" sheetId="106" state="hidden" r:id="rId36"/>
    <sheet name="내역_24.11" sheetId="108" state="hidden" r:id="rId37"/>
    <sheet name="내역_24.12" sheetId="110" state="hidden" r:id="rId38"/>
    <sheet name="내역_25.01" sheetId="112" state="hidden" r:id="rId39"/>
    <sheet name="내역_25.02" sheetId="115" state="hidden" r:id="rId40"/>
    <sheet name="내역_25.03" sheetId="117" state="hidden" r:id="rId41"/>
    <sheet name="내역_25.04" sheetId="119" state="hidden" r:id="rId42"/>
    <sheet name="내역_25.05" sheetId="122" state="hidden" r:id="rId43"/>
    <sheet name="26.05" sheetId="124" r:id="rId44"/>
    <sheet name="통장지급내역" sheetId="125" r:id="rId45"/>
    <sheet name="당월 업무추진비" sheetId="128" r:id="rId46"/>
    <sheet name="기사 야근 일지" sheetId="129" r:id="rId47"/>
    <sheet name="업무추진비" sheetId="91" state="hidden" r:id="rId48"/>
    <sheet name="12월 업무추진비" sheetId="80" state="hidden" r:id="rId49"/>
    <sheet name="기사 야근일지" sheetId="81" state="hidden" r:id="rId50"/>
    <sheet name="9월 10월 기사 야근" sheetId="72" state="hidden" r:id="rId51"/>
    <sheet name="10월 업무추진비" sheetId="73" state="hidden" r:id="rId52"/>
    <sheet name="9월 업무추진비" sheetId="64" state="hidden" r:id="rId53"/>
    <sheet name="세부내역" sheetId="12" state="hidden" r:id="rId54"/>
  </sheets>
  <externalReferences>
    <externalReference r:id="rId55"/>
    <externalReference r:id="rId56"/>
    <externalReference r:id="rId57"/>
  </externalReferences>
  <definedNames>
    <definedName name="_xlnm._FilterDatabase" localSheetId="43" hidden="1">'26.05'!$B$18:$R$90</definedName>
    <definedName name="_xlnm._FilterDatabase" localSheetId="1" hidden="1">'내역_22.03'!$A$16:$N$28</definedName>
    <definedName name="_xlnm._FilterDatabase" localSheetId="2" hidden="1">'내역_22.04'!$A$16:$N$31</definedName>
    <definedName name="_xlnm._FilterDatabase" localSheetId="3" hidden="1">'내역_22.05'!$A$16:$N$55</definedName>
    <definedName name="_xlnm._FilterDatabase" localSheetId="4" hidden="1">'내역_22.06'!$A$16:$N$62</definedName>
    <definedName name="_xlnm._FilterDatabase" localSheetId="5" hidden="1">'내역_22.07'!$A$16:$N$75</definedName>
    <definedName name="_xlnm._FilterDatabase" localSheetId="6" hidden="1">'내역_22.07 (수정)'!$A$16:$N$75</definedName>
    <definedName name="_xlnm._FilterDatabase" localSheetId="7" hidden="1">'내역_22.08'!$A$16:$N$67</definedName>
    <definedName name="_xlnm._FilterDatabase" localSheetId="8" hidden="1">'내역_22.09'!$A$16:$N$62</definedName>
    <definedName name="_xlnm._FilterDatabase" localSheetId="9" hidden="1">'내역_22.10'!$A$16:$N$76</definedName>
    <definedName name="_xlnm._FilterDatabase" localSheetId="10" hidden="1">'내역_22.11'!$A$16:$N$68</definedName>
    <definedName name="_xlnm._FilterDatabase" localSheetId="11" hidden="1">'내역_22.12'!$A$16:$N$73</definedName>
    <definedName name="_xlnm._FilterDatabase" localSheetId="12" hidden="1">'내역_23.01'!$A$16:$N$107</definedName>
    <definedName name="_xlnm._FilterDatabase" localSheetId="13" hidden="1">'내역_23.02'!$A$18:$N$151</definedName>
    <definedName name="_xlnm._FilterDatabase" localSheetId="14" hidden="1">'내역_23.03'!$A$18:$N$152</definedName>
    <definedName name="_xlnm._FilterDatabase" localSheetId="15" hidden="1">'내역_23.04'!$A$18:$N$149</definedName>
    <definedName name="_xlnm._FilterDatabase" localSheetId="16" hidden="1">'내역_23.05'!$A$18:$N$152</definedName>
    <definedName name="_xlnm._FilterDatabase" localSheetId="18" hidden="1">'내역_23.06'!$A$18:$N$157</definedName>
    <definedName name="_xlnm._FilterDatabase" localSheetId="19" hidden="1">'내역_23.07'!$A$18:$N$126</definedName>
    <definedName name="_xlnm._FilterDatabase" localSheetId="20" hidden="1">'내역_23.08'!$A$18:$N$163</definedName>
    <definedName name="_xlnm._FilterDatabase" localSheetId="22" hidden="1">'내역_23.09'!$A$18:$N$131</definedName>
    <definedName name="_xlnm._FilterDatabase" localSheetId="23" hidden="1">'내역_23.10'!$A$18:$N$138</definedName>
    <definedName name="_xlnm._FilterDatabase" localSheetId="24" hidden="1">'내역_23.11'!$A$18:$N$158</definedName>
    <definedName name="_xlnm._FilterDatabase" localSheetId="25" hidden="1">'내역_23.12'!$A$18:$N$135</definedName>
    <definedName name="_xlnm._FilterDatabase" localSheetId="26" hidden="1">'내역_24.01'!$B$17:$R$96</definedName>
    <definedName name="_xlnm._FilterDatabase" localSheetId="27" hidden="1">'내역_24.02'!$B$17:$R$95</definedName>
    <definedName name="_xlnm._FilterDatabase" localSheetId="28" hidden="1">'내역_24.03'!$B$17:$R$108</definedName>
    <definedName name="_xlnm._FilterDatabase" localSheetId="29" hidden="1">'내역_24.04'!$B$17:$R$106</definedName>
    <definedName name="_xlnm._FilterDatabase" localSheetId="30" hidden="1">'내역_24.05'!$B$17:$R$92</definedName>
    <definedName name="_xlnm._FilterDatabase" localSheetId="31" hidden="1">'내역_24.06'!$B$17:$R$97</definedName>
    <definedName name="_xlnm._FilterDatabase" localSheetId="32" hidden="1">'내역_24.07'!$B$17:$R$93</definedName>
    <definedName name="_xlnm._FilterDatabase" localSheetId="33" hidden="1">'내역_24.08'!$B$18:$R$92</definedName>
    <definedName name="_xlnm._FilterDatabase" localSheetId="34" hidden="1">'내역_24.09'!$B$18:$R$98</definedName>
    <definedName name="_xlnm._FilterDatabase" localSheetId="35" hidden="1">'내역_24.10'!$B$18:$R$94</definedName>
    <definedName name="_xlnm._FilterDatabase" localSheetId="36" hidden="1">'내역_24.11'!$B$18:$R$91</definedName>
    <definedName name="_xlnm._FilterDatabase" localSheetId="37" hidden="1">'내역_24.12'!$B$18:$R$96</definedName>
    <definedName name="_xlnm._FilterDatabase" localSheetId="38" hidden="1">'내역_25.01'!$B$18:$R$105</definedName>
    <definedName name="_xlnm._FilterDatabase" localSheetId="39" hidden="1">'내역_25.02'!$B$18:$R$97</definedName>
    <definedName name="_xlnm._FilterDatabase" localSheetId="40" hidden="1">'내역_25.03'!$B$18:$R$104</definedName>
    <definedName name="_xlnm._FilterDatabase" localSheetId="41" hidden="1">'내역_25.04'!$B$18:$R$104</definedName>
    <definedName name="_xlnm._FilterDatabase" localSheetId="42" hidden="1">'내역_25.05'!$B$18:$R$110</definedName>
    <definedName name="_xlnm._FilterDatabase" localSheetId="45" hidden="1">'당월 업무추진비'!$B$5:$L$46</definedName>
    <definedName name="_xlnm._FilterDatabase" localSheetId="53" hidden="1">세부내역!$A$2:$O$66</definedName>
    <definedName name="Large_scale_classification">[1]Sheet3!$C$4:$C$10</definedName>
    <definedName name="_xlnm.Print_Area" localSheetId="0">'통장내역(환율표)'!$B$2:$N$316</definedName>
    <definedName name="_xlnm.Print_Area" localSheetId="44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7" i="124" l="1"/>
  <c r="L71" i="124"/>
  <c r="L51" i="124" l="1"/>
  <c r="L63" i="124"/>
  <c r="L56" i="124"/>
  <c r="L86" i="124"/>
  <c r="U16" i="129"/>
  <c r="U15" i="129"/>
  <c r="U14" i="129"/>
  <c r="U13" i="129"/>
  <c r="U12" i="129"/>
  <c r="U11" i="129"/>
  <c r="U10" i="129"/>
  <c r="U9" i="129"/>
  <c r="U8" i="129"/>
  <c r="U7" i="129"/>
  <c r="U6" i="129"/>
  <c r="U5" i="129"/>
  <c r="N16" i="129"/>
  <c r="N15" i="129"/>
  <c r="N14" i="129"/>
  <c r="N13" i="129"/>
  <c r="N12" i="129"/>
  <c r="N11" i="129"/>
  <c r="N10" i="129"/>
  <c r="N9" i="129"/>
  <c r="N8" i="129"/>
  <c r="N7" i="129"/>
  <c r="N6" i="129"/>
  <c r="N5" i="129"/>
  <c r="G14" i="129"/>
  <c r="G13" i="129"/>
  <c r="G12" i="129"/>
  <c r="G11" i="129"/>
  <c r="G10" i="129"/>
  <c r="G9" i="129"/>
  <c r="G8" i="129"/>
  <c r="G7" i="129"/>
  <c r="G6" i="129"/>
  <c r="G5" i="129"/>
  <c r="L83" i="124"/>
  <c r="L79" i="124" l="1"/>
  <c r="L44" i="124" l="1"/>
  <c r="L38" i="124" l="1"/>
  <c r="B37" i="128" l="1"/>
  <c r="B38" i="128"/>
  <c r="B39" i="128"/>
  <c r="B40" i="128"/>
  <c r="B41" i="128"/>
  <c r="B42" i="128"/>
  <c r="B43" i="128"/>
  <c r="B44" i="128"/>
  <c r="B45" i="128"/>
  <c r="B46" i="128"/>
  <c r="B34" i="128" l="1"/>
  <c r="B35" i="128"/>
  <c r="B36" i="128"/>
  <c r="G47" i="128" l="1"/>
  <c r="H47" i="128"/>
  <c r="S20" i="124" l="1"/>
  <c r="L75" i="124" l="1"/>
  <c r="G15" i="129" l="1"/>
  <c r="G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U24" i="129" l="1"/>
  <c r="N24" i="129"/>
  <c r="G24" i="129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F7" i="124" l="1"/>
  <c r="N20" i="124"/>
  <c r="N21" i="124" s="1"/>
  <c r="N22" i="124" s="1"/>
  <c r="N23" i="124" s="1"/>
  <c r="N24" i="124" s="1"/>
  <c r="N25" i="124" s="1"/>
  <c r="N26" i="124" s="1"/>
  <c r="N27" i="124" s="1"/>
  <c r="N28" i="124" s="1"/>
  <c r="D289" i="2"/>
  <c r="J15" i="124" l="1"/>
  <c r="K13" i="124"/>
  <c r="J13" i="124"/>
  <c r="E13" i="124"/>
  <c r="G12" i="124" s="1"/>
  <c r="D13" i="124"/>
  <c r="L12" i="124"/>
  <c r="F12" i="124"/>
  <c r="L11" i="124"/>
  <c r="L10" i="124"/>
  <c r="F10" i="124"/>
  <c r="L9" i="124"/>
  <c r="F9" i="124"/>
  <c r="L8" i="124"/>
  <c r="F8" i="124"/>
  <c r="L7" i="124"/>
  <c r="L6" i="124"/>
  <c r="F6" i="124"/>
  <c r="L5" i="124"/>
  <c r="F5" i="124"/>
  <c r="N29" i="124" l="1"/>
  <c r="N30" i="124" s="1"/>
  <c r="S8" i="124"/>
  <c r="S6" i="124"/>
  <c r="S7" i="124"/>
  <c r="J14" i="124"/>
  <c r="K14" i="124"/>
  <c r="L13" i="124"/>
  <c r="S5" i="124"/>
  <c r="F13" i="124"/>
  <c r="H311" i="2"/>
  <c r="N31" i="124" l="1"/>
  <c r="N32" i="124" s="1"/>
  <c r="N33" i="124" s="1"/>
  <c r="N34" i="124" s="1"/>
  <c r="N35" i="124" s="1"/>
  <c r="N36" i="124" s="1"/>
  <c r="N37" i="124" s="1"/>
  <c r="N38" i="124" s="1"/>
  <c r="N39" i="124" s="1"/>
  <c r="N40" i="124" s="1"/>
  <c r="N41" i="124" s="1"/>
  <c r="N42" i="124" s="1"/>
  <c r="N43" i="124" s="1"/>
  <c r="N44" i="124" s="1"/>
  <c r="N45" i="124" s="1"/>
  <c r="L14" i="124"/>
  <c r="B298" i="2" s="1"/>
  <c r="V13" i="124"/>
  <c r="G13" i="124"/>
  <c r="G11" i="124" s="1"/>
  <c r="D279" i="2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N46" i="124" l="1"/>
  <c r="N47" i="124" s="1"/>
  <c r="N48" i="124" s="1"/>
  <c r="N49" i="124" s="1"/>
  <c r="N50" i="124" s="1"/>
  <c r="N51" i="124" s="1"/>
  <c r="N52" i="124" s="1"/>
  <c r="N53" i="124" s="1"/>
  <c r="N54" i="124" s="1"/>
  <c r="N55" i="124" s="1"/>
  <c r="N56" i="124" s="1"/>
  <c r="N57" i="124" s="1"/>
  <c r="N58" i="124" s="1"/>
  <c r="L110" i="122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N59" i="124" l="1"/>
  <c r="N60" i="124" s="1"/>
  <c r="L15" i="122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N61" i="124" l="1"/>
  <c r="N62" i="124" s="1"/>
  <c r="N63" i="124" s="1"/>
  <c r="N64" i="124" s="1"/>
  <c r="N65" i="124" s="1"/>
  <c r="N66" i="124" s="1"/>
  <c r="N67" i="124" s="1"/>
  <c r="N68" i="124" s="1"/>
  <c r="L13" i="122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D271" i="2"/>
  <c r="N20" i="119"/>
  <c r="N21" i="119" s="1"/>
  <c r="N22" i="119" s="1"/>
  <c r="L51" i="122" l="1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M16" i="122" l="1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O54" i="122" l="1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N69" i="124" l="1"/>
  <c r="N70" i="124" s="1"/>
  <c r="N71" i="124" s="1"/>
  <c r="N72" i="124" s="1"/>
  <c r="N73" i="124" s="1"/>
  <c r="N74" i="124" s="1"/>
  <c r="N75" i="124" s="1"/>
  <c r="N76" i="124" s="1"/>
  <c r="N77" i="124" s="1"/>
  <c r="N78" i="124" s="1"/>
  <c r="N79" i="124" s="1"/>
  <c r="N80" i="124" s="1"/>
  <c r="N81" i="124" s="1"/>
  <c r="N82" i="124" s="1"/>
  <c r="N83" i="124" s="1"/>
  <c r="N84" i="124" s="1"/>
  <c r="N85" i="124" s="1"/>
  <c r="N86" i="124" s="1"/>
  <c r="N87" i="124" s="1"/>
  <c r="N88" i="124" s="1"/>
  <c r="N89" i="124" s="1"/>
  <c r="N90" i="124" s="1"/>
  <c r="L15" i="119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S8" i="119" l="1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D264" i="2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L23" i="119" l="1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S20" i="119" l="1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N24" i="119" l="1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D257" i="2"/>
  <c r="L96" i="115" l="1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K16" i="119" l="1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R10" i="112"/>
  <c r="R11" i="112"/>
  <c r="R9" i="112"/>
  <c r="R8" i="112"/>
  <c r="R7" i="112"/>
  <c r="R6" i="112"/>
  <c r="L10" i="112"/>
  <c r="L9" i="112"/>
  <c r="L8" i="112"/>
  <c r="L7" i="112"/>
  <c r="L6" i="112"/>
  <c r="F10" i="112"/>
  <c r="F9" i="112"/>
  <c r="F8" i="112"/>
  <c r="F7" i="112"/>
  <c r="F6" i="112"/>
  <c r="J14" i="112"/>
  <c r="M15" i="119" l="1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S12" i="112"/>
  <c r="S10" i="112"/>
  <c r="S9" i="112"/>
  <c r="S8" i="112"/>
  <c r="S7" i="112"/>
  <c r="S6" i="112"/>
  <c r="S5" i="112"/>
  <c r="R12" i="112"/>
  <c r="R5" i="112"/>
  <c r="M13" i="115" l="1"/>
  <c r="D254" i="2"/>
  <c r="Q13" i="112"/>
  <c r="P13" i="112"/>
  <c r="S11" i="112"/>
  <c r="L72" i="115" l="1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R13" i="112"/>
  <c r="N20" i="112"/>
  <c r="N21" i="112" s="1"/>
  <c r="N22" i="112" s="1"/>
  <c r="N23" i="112" s="1"/>
  <c r="N24" i="112" s="1"/>
  <c r="N25" i="112" s="1"/>
  <c r="N26" i="112" s="1"/>
  <c r="N27" i="112" s="1"/>
  <c r="N28" i="112" s="1"/>
  <c r="N29" i="112" s="1"/>
  <c r="O316" i="2" l="1"/>
  <c r="N316" i="2"/>
  <c r="M316" i="2"/>
  <c r="L316" i="2"/>
  <c r="K316" i="2"/>
  <c r="J316" i="2"/>
  <c r="I316" i="2"/>
  <c r="H316" i="2"/>
  <c r="G316" i="2"/>
  <c r="F316" i="2"/>
  <c r="E316" i="2"/>
  <c r="O311" i="2"/>
  <c r="N311" i="2"/>
  <c r="M311" i="2"/>
  <c r="L311" i="2"/>
  <c r="K311" i="2"/>
  <c r="J311" i="2"/>
  <c r="I311" i="2"/>
  <c r="G311" i="2"/>
  <c r="F311" i="2"/>
  <c r="E311" i="2"/>
  <c r="D246" i="2"/>
  <c r="L22" i="115" l="1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L99" i="112"/>
  <c r="M99" i="112" s="1"/>
  <c r="L87" i="112"/>
  <c r="M87" i="112" s="1"/>
  <c r="L75" i="112"/>
  <c r="M75" i="112" s="1"/>
  <c r="L63" i="112"/>
  <c r="M63" i="112" s="1"/>
  <c r="L51" i="112"/>
  <c r="M51" i="112" s="1"/>
  <c r="L39" i="112"/>
  <c r="M39" i="112" s="1"/>
  <c r="L88" i="112"/>
  <c r="M88" i="112" s="1"/>
  <c r="L98" i="112"/>
  <c r="M98" i="112" s="1"/>
  <c r="L86" i="112"/>
  <c r="M86" i="112" s="1"/>
  <c r="L74" i="112"/>
  <c r="M74" i="112" s="1"/>
  <c r="L62" i="112"/>
  <c r="M62" i="112" s="1"/>
  <c r="L50" i="112"/>
  <c r="M50" i="112" s="1"/>
  <c r="L38" i="112"/>
  <c r="M38" i="112" s="1"/>
  <c r="L64" i="112"/>
  <c r="M64" i="112" s="1"/>
  <c r="L97" i="112"/>
  <c r="M97" i="112" s="1"/>
  <c r="L85" i="112"/>
  <c r="M85" i="112" s="1"/>
  <c r="L73" i="112"/>
  <c r="M73" i="112" s="1"/>
  <c r="L61" i="112"/>
  <c r="M61" i="112" s="1"/>
  <c r="L49" i="112"/>
  <c r="M49" i="112" s="1"/>
  <c r="L37" i="112"/>
  <c r="M37" i="112" s="1"/>
  <c r="L96" i="112"/>
  <c r="M96" i="112" s="1"/>
  <c r="L84" i="112"/>
  <c r="M84" i="112" s="1"/>
  <c r="L72" i="112"/>
  <c r="M72" i="112" s="1"/>
  <c r="L60" i="112"/>
  <c r="M60" i="112" s="1"/>
  <c r="L48" i="112"/>
  <c r="M48" i="112" s="1"/>
  <c r="L36" i="112"/>
  <c r="M36" i="112" s="1"/>
  <c r="L95" i="112"/>
  <c r="M95" i="112" s="1"/>
  <c r="L83" i="112"/>
  <c r="M83" i="112" s="1"/>
  <c r="L71" i="112"/>
  <c r="M71" i="112" s="1"/>
  <c r="L59" i="112"/>
  <c r="M59" i="112" s="1"/>
  <c r="L47" i="112"/>
  <c r="M47" i="112" s="1"/>
  <c r="L35" i="112"/>
  <c r="M35" i="112" s="1"/>
  <c r="L100" i="112"/>
  <c r="M100" i="112" s="1"/>
  <c r="L94" i="112"/>
  <c r="M94" i="112" s="1"/>
  <c r="L82" i="112"/>
  <c r="M82" i="112" s="1"/>
  <c r="L70" i="112"/>
  <c r="M70" i="112" s="1"/>
  <c r="L58" i="112"/>
  <c r="M58" i="112" s="1"/>
  <c r="L46" i="112"/>
  <c r="M46" i="112" s="1"/>
  <c r="L34" i="112"/>
  <c r="M34" i="112" s="1"/>
  <c r="L93" i="112"/>
  <c r="M93" i="112" s="1"/>
  <c r="L81" i="112"/>
  <c r="M81" i="112" s="1"/>
  <c r="L69" i="112"/>
  <c r="M69" i="112" s="1"/>
  <c r="L57" i="112"/>
  <c r="M57" i="112" s="1"/>
  <c r="L45" i="112"/>
  <c r="M45" i="112" s="1"/>
  <c r="L33" i="112"/>
  <c r="M33" i="112" s="1"/>
  <c r="L52" i="112"/>
  <c r="M52" i="112" s="1"/>
  <c r="L92" i="112"/>
  <c r="M92" i="112" s="1"/>
  <c r="L80" i="112"/>
  <c r="M80" i="112" s="1"/>
  <c r="L68" i="112"/>
  <c r="M68" i="112" s="1"/>
  <c r="L56" i="112"/>
  <c r="M56" i="112" s="1"/>
  <c r="L44" i="112"/>
  <c r="M44" i="112" s="1"/>
  <c r="L32" i="112"/>
  <c r="M32" i="112" s="1"/>
  <c r="L76" i="112"/>
  <c r="M76" i="112" s="1"/>
  <c r="L103" i="112"/>
  <c r="M103" i="112" s="1"/>
  <c r="L91" i="112"/>
  <c r="M91" i="112" s="1"/>
  <c r="L79" i="112"/>
  <c r="M79" i="112" s="1"/>
  <c r="L67" i="112"/>
  <c r="M67" i="112" s="1"/>
  <c r="L55" i="112"/>
  <c r="M55" i="112" s="1"/>
  <c r="L43" i="112"/>
  <c r="M43" i="112" s="1"/>
  <c r="L31" i="112"/>
  <c r="L40" i="112"/>
  <c r="M40" i="112" s="1"/>
  <c r="L102" i="112"/>
  <c r="M102" i="112" s="1"/>
  <c r="L90" i="112"/>
  <c r="M90" i="112" s="1"/>
  <c r="L78" i="112"/>
  <c r="M78" i="112" s="1"/>
  <c r="L66" i="112"/>
  <c r="M66" i="112" s="1"/>
  <c r="L54" i="112"/>
  <c r="M54" i="112" s="1"/>
  <c r="L42" i="112"/>
  <c r="M42" i="112" s="1"/>
  <c r="L101" i="112"/>
  <c r="M101" i="112" s="1"/>
  <c r="L89" i="112"/>
  <c r="M89" i="112" s="1"/>
  <c r="L77" i="112"/>
  <c r="M77" i="112" s="1"/>
  <c r="L65" i="112"/>
  <c r="M65" i="112" s="1"/>
  <c r="L53" i="112"/>
  <c r="M53" i="112" s="1"/>
  <c r="L41" i="112"/>
  <c r="M41" i="112" s="1"/>
  <c r="E14" i="112"/>
  <c r="D14" i="112"/>
  <c r="K13" i="112"/>
  <c r="J13" i="112"/>
  <c r="E13" i="112"/>
  <c r="K14" i="112" s="1"/>
  <c r="D13" i="112"/>
  <c r="L12" i="112"/>
  <c r="F12" i="112"/>
  <c r="L11" i="112"/>
  <c r="F11" i="112"/>
  <c r="L5" i="112"/>
  <c r="F5" i="112"/>
  <c r="L11" i="110"/>
  <c r="L12" i="110"/>
  <c r="S22" i="115" l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P14" i="112"/>
  <c r="G12" i="112"/>
  <c r="M10" i="112"/>
  <c r="M8" i="112"/>
  <c r="M12" i="112"/>
  <c r="F13" i="112"/>
  <c r="M5" i="112"/>
  <c r="M11" i="112"/>
  <c r="F14" i="112"/>
  <c r="M6" i="112"/>
  <c r="M9" i="112"/>
  <c r="M7" i="112"/>
  <c r="Q14" i="112"/>
  <c r="L13" i="112"/>
  <c r="N54" i="115" l="1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X13" i="112"/>
  <c r="L14" i="112"/>
  <c r="S13" i="112"/>
  <c r="G13" i="112"/>
  <c r="G11" i="112" s="1"/>
  <c r="M13" i="112"/>
  <c r="R14" i="112"/>
  <c r="M15" i="115" l="1"/>
  <c r="M14" i="115"/>
  <c r="O20" i="110"/>
  <c r="O21" i="110" s="1"/>
  <c r="N20" i="110"/>
  <c r="N21" i="110" s="1"/>
  <c r="N22" i="110" s="1"/>
  <c r="N23" i="110" s="1"/>
  <c r="N24" i="110" s="1"/>
  <c r="N25" i="110" s="1"/>
  <c r="N26" i="110" s="1"/>
  <c r="N27" i="110" s="1"/>
  <c r="N28" i="110" s="1"/>
  <c r="N29" i="110" s="1"/>
  <c r="N30" i="110" s="1"/>
  <c r="N31" i="110" s="1"/>
  <c r="N32" i="110" s="1"/>
  <c r="N33" i="110" s="1"/>
  <c r="N34" i="110" s="1"/>
  <c r="N35" i="110" s="1"/>
  <c r="N36" i="110" s="1"/>
  <c r="N37" i="110" s="1"/>
  <c r="N38" i="110" s="1"/>
  <c r="N39" i="110" s="1"/>
  <c r="N40" i="110" s="1"/>
  <c r="N41" i="110" s="1"/>
  <c r="N42" i="110" s="1"/>
  <c r="N43" i="110" s="1"/>
  <c r="N44" i="110" s="1"/>
  <c r="N45" i="110" s="1"/>
  <c r="N46" i="110" s="1"/>
  <c r="N47" i="110" s="1"/>
  <c r="N48" i="110" s="1"/>
  <c r="N49" i="110" s="1"/>
  <c r="N50" i="110" s="1"/>
  <c r="N51" i="110" s="1"/>
  <c r="N52" i="110" s="1"/>
  <c r="D238" i="2" l="1"/>
  <c r="E14" i="110"/>
  <c r="D14" i="110"/>
  <c r="K13" i="110"/>
  <c r="J13" i="110"/>
  <c r="E13" i="110"/>
  <c r="G12" i="110" s="1"/>
  <c r="D13" i="110"/>
  <c r="F12" i="110"/>
  <c r="F11" i="110"/>
  <c r="L10" i="110"/>
  <c r="F10" i="110"/>
  <c r="L9" i="110"/>
  <c r="F9" i="110"/>
  <c r="L8" i="110"/>
  <c r="F8" i="110"/>
  <c r="L7" i="110"/>
  <c r="F7" i="110"/>
  <c r="L6" i="110"/>
  <c r="F6" i="110"/>
  <c r="L5" i="110"/>
  <c r="F5" i="110"/>
  <c r="L27" i="112" l="1"/>
  <c r="M27" i="112" s="1"/>
  <c r="L26" i="112"/>
  <c r="M26" i="112" s="1"/>
  <c r="L25" i="112"/>
  <c r="M25" i="112" s="1"/>
  <c r="L24" i="112"/>
  <c r="M24" i="112" s="1"/>
  <c r="L23" i="112"/>
  <c r="M23" i="112" s="1"/>
  <c r="L20" i="112"/>
  <c r="M20" i="112" s="1"/>
  <c r="L28" i="112"/>
  <c r="M28" i="112" s="1"/>
  <c r="L30" i="112"/>
  <c r="L29" i="112"/>
  <c r="M29" i="112" s="1"/>
  <c r="L87" i="110"/>
  <c r="M87" i="110" s="1"/>
  <c r="L75" i="110"/>
  <c r="M75" i="110" s="1"/>
  <c r="L63" i="110"/>
  <c r="M63" i="110" s="1"/>
  <c r="L79" i="110"/>
  <c r="M79" i="110" s="1"/>
  <c r="L88" i="110"/>
  <c r="M88" i="110" s="1"/>
  <c r="I74" i="110"/>
  <c r="J74" i="110" s="1"/>
  <c r="L86" i="110"/>
  <c r="M86" i="110" s="1"/>
  <c r="L74" i="110"/>
  <c r="L62" i="110"/>
  <c r="M62" i="110" s="1"/>
  <c r="L67" i="110"/>
  <c r="M67" i="110" s="1"/>
  <c r="L54" i="110"/>
  <c r="L85" i="110"/>
  <c r="M85" i="110" s="1"/>
  <c r="L73" i="110"/>
  <c r="M73" i="110" s="1"/>
  <c r="L61" i="110"/>
  <c r="M61" i="110" s="1"/>
  <c r="L56" i="110"/>
  <c r="M56" i="110" s="1"/>
  <c r="L78" i="110"/>
  <c r="M78" i="110" s="1"/>
  <c r="L96" i="110"/>
  <c r="M96" i="110" s="1"/>
  <c r="L84" i="110"/>
  <c r="M84" i="110" s="1"/>
  <c r="L72" i="110"/>
  <c r="M72" i="110" s="1"/>
  <c r="L60" i="110"/>
  <c r="M60" i="110" s="1"/>
  <c r="L68" i="110"/>
  <c r="M68" i="110" s="1"/>
  <c r="L89" i="110"/>
  <c r="M89" i="110" s="1"/>
  <c r="L95" i="110"/>
  <c r="M95" i="110" s="1"/>
  <c r="L83" i="110"/>
  <c r="M83" i="110" s="1"/>
  <c r="L71" i="110"/>
  <c r="M71" i="110" s="1"/>
  <c r="L59" i="110"/>
  <c r="M59" i="110" s="1"/>
  <c r="L80" i="110"/>
  <c r="M80" i="110" s="1"/>
  <c r="L64" i="110"/>
  <c r="M64" i="110" s="1"/>
  <c r="L94" i="110"/>
  <c r="M94" i="110" s="1"/>
  <c r="L82" i="110"/>
  <c r="M82" i="110" s="1"/>
  <c r="L70" i="110"/>
  <c r="M70" i="110" s="1"/>
  <c r="L58" i="110"/>
  <c r="M58" i="110" s="1"/>
  <c r="L65" i="110"/>
  <c r="M65" i="110" s="1"/>
  <c r="L93" i="110"/>
  <c r="M93" i="110" s="1"/>
  <c r="L81" i="110"/>
  <c r="M81" i="110" s="1"/>
  <c r="L69" i="110"/>
  <c r="M69" i="110" s="1"/>
  <c r="L57" i="110"/>
  <c r="M57" i="110" s="1"/>
  <c r="L55" i="110"/>
  <c r="M55" i="110" s="1"/>
  <c r="L66" i="110"/>
  <c r="M66" i="110" s="1"/>
  <c r="L92" i="110"/>
  <c r="M92" i="110" s="1"/>
  <c r="L76" i="110"/>
  <c r="M76" i="110" s="1"/>
  <c r="L91" i="110"/>
  <c r="M91" i="110" s="1"/>
  <c r="L90" i="110"/>
  <c r="M90" i="110" s="1"/>
  <c r="L77" i="110"/>
  <c r="M77" i="110" s="1"/>
  <c r="M9" i="110"/>
  <c r="J14" i="110"/>
  <c r="P14" i="110"/>
  <c r="M10" i="110"/>
  <c r="M5" i="110"/>
  <c r="Q14" i="110"/>
  <c r="M11" i="110"/>
  <c r="F13" i="110"/>
  <c r="X13" i="110" s="1"/>
  <c r="M6" i="110"/>
  <c r="L13" i="110"/>
  <c r="F14" i="110"/>
  <c r="M7" i="110"/>
  <c r="M8" i="110"/>
  <c r="M12" i="110"/>
  <c r="K14" i="110"/>
  <c r="S20" i="112" l="1"/>
  <c r="O20" i="112"/>
  <c r="O21" i="112" s="1"/>
  <c r="O22" i="112" s="1"/>
  <c r="O23" i="112" s="1"/>
  <c r="O24" i="112" s="1"/>
  <c r="O25" i="112" s="1"/>
  <c r="O26" i="112" s="1"/>
  <c r="O27" i="112" s="1"/>
  <c r="O28" i="112" s="1"/>
  <c r="O29" i="112" s="1"/>
  <c r="O30" i="112" s="1"/>
  <c r="G13" i="110"/>
  <c r="G11" i="110" s="1"/>
  <c r="M13" i="110"/>
  <c r="R14" i="110"/>
  <c r="L14" i="110"/>
  <c r="S23" i="112" l="1"/>
  <c r="S24" i="112" s="1"/>
  <c r="S25" i="112" s="1"/>
  <c r="S26" i="112" s="1"/>
  <c r="S27" i="112" s="1"/>
  <c r="S28" i="112" s="1"/>
  <c r="S29" i="112" s="1"/>
  <c r="K38" i="108"/>
  <c r="K39" i="108" s="1"/>
  <c r="M39" i="108" s="1"/>
  <c r="S39" i="108" s="1"/>
  <c r="M91" i="108"/>
  <c r="M90" i="108"/>
  <c r="M89" i="108"/>
  <c r="M88" i="108"/>
  <c r="M87" i="108"/>
  <c r="M86" i="108"/>
  <c r="M85" i="108"/>
  <c r="M84" i="108"/>
  <c r="M83" i="108"/>
  <c r="M82" i="108"/>
  <c r="M81" i="108"/>
  <c r="M80" i="108"/>
  <c r="M79" i="108"/>
  <c r="M78" i="108"/>
  <c r="M77" i="108"/>
  <c r="M76" i="108"/>
  <c r="M75" i="108"/>
  <c r="M74" i="108"/>
  <c r="M73" i="108"/>
  <c r="M72" i="108"/>
  <c r="M71" i="108"/>
  <c r="M70" i="108"/>
  <c r="M69" i="108"/>
  <c r="M68" i="108"/>
  <c r="M67" i="108"/>
  <c r="M66" i="108"/>
  <c r="M65" i="108"/>
  <c r="M64" i="108"/>
  <c r="M63" i="108"/>
  <c r="M62" i="108"/>
  <c r="M61" i="108"/>
  <c r="M60" i="108"/>
  <c r="M59" i="108"/>
  <c r="M58" i="108"/>
  <c r="M57" i="108"/>
  <c r="M56" i="108"/>
  <c r="M55" i="108"/>
  <c r="M54" i="108"/>
  <c r="M53" i="108"/>
  <c r="M52" i="108"/>
  <c r="M51" i="108"/>
  <c r="M50" i="108"/>
  <c r="M49" i="108"/>
  <c r="M48" i="108"/>
  <c r="M47" i="108"/>
  <c r="M46" i="108"/>
  <c r="M45" i="108"/>
  <c r="M44" i="108"/>
  <c r="M43" i="108"/>
  <c r="M42" i="108"/>
  <c r="M41" i="108"/>
  <c r="M40" i="108"/>
  <c r="D231" i="2"/>
  <c r="L51" i="110" l="1"/>
  <c r="M51" i="110" s="1"/>
  <c r="L39" i="110"/>
  <c r="M39" i="110" s="1"/>
  <c r="L50" i="110"/>
  <c r="M50" i="110" s="1"/>
  <c r="L38" i="110"/>
  <c r="M38" i="110" s="1"/>
  <c r="L41" i="110"/>
  <c r="M41" i="110" s="1"/>
  <c r="L52" i="110"/>
  <c r="M52" i="110" s="1"/>
  <c r="L49" i="110"/>
  <c r="M49" i="110" s="1"/>
  <c r="L37" i="110"/>
  <c r="M37" i="110" s="1"/>
  <c r="L25" i="110"/>
  <c r="M25" i="110" s="1"/>
  <c r="L53" i="110"/>
  <c r="K53" i="110" s="1"/>
  <c r="L48" i="110"/>
  <c r="M48" i="110" s="1"/>
  <c r="L36" i="110"/>
  <c r="M36" i="110" s="1"/>
  <c r="L29" i="110"/>
  <c r="M29" i="110" s="1"/>
  <c r="L32" i="110"/>
  <c r="M32" i="110" s="1"/>
  <c r="L47" i="110"/>
  <c r="M47" i="110" s="1"/>
  <c r="L35" i="110"/>
  <c r="M35" i="110" s="1"/>
  <c r="L28" i="110"/>
  <c r="M28" i="110" s="1"/>
  <c r="L24" i="110"/>
  <c r="M24" i="110" s="1"/>
  <c r="L42" i="110"/>
  <c r="M42" i="110" s="1"/>
  <c r="L30" i="110"/>
  <c r="M30" i="110" s="1"/>
  <c r="L46" i="110"/>
  <c r="M46" i="110" s="1"/>
  <c r="L34" i="110"/>
  <c r="M34" i="110" s="1"/>
  <c r="L27" i="110"/>
  <c r="M27" i="110" s="1"/>
  <c r="L26" i="110"/>
  <c r="M26" i="110" s="1"/>
  <c r="L44" i="110"/>
  <c r="M44" i="110" s="1"/>
  <c r="L43" i="110"/>
  <c r="M43" i="110" s="1"/>
  <c r="L31" i="110"/>
  <c r="M31" i="110" s="1"/>
  <c r="L45" i="110"/>
  <c r="M45" i="110" s="1"/>
  <c r="L33" i="110"/>
  <c r="M33" i="110" s="1"/>
  <c r="L22" i="110"/>
  <c r="M22" i="110" s="1"/>
  <c r="L40" i="110"/>
  <c r="M40" i="110" s="1"/>
  <c r="L23" i="110"/>
  <c r="M23" i="110" s="1"/>
  <c r="S40" i="108"/>
  <c r="S41" i="108" s="1"/>
  <c r="S42" i="108" s="1"/>
  <c r="S43" i="108" s="1"/>
  <c r="S44" i="108" s="1"/>
  <c r="S45" i="108" s="1"/>
  <c r="S46" i="108" s="1"/>
  <c r="S47" i="108" s="1"/>
  <c r="S48" i="108" s="1"/>
  <c r="S49" i="108" s="1"/>
  <c r="S50" i="108" s="1"/>
  <c r="S51" i="108" s="1"/>
  <c r="S52" i="108" s="1"/>
  <c r="S53" i="108" s="1"/>
  <c r="S54" i="108" s="1"/>
  <c r="S55" i="108" s="1"/>
  <c r="S56" i="108" s="1"/>
  <c r="S57" i="108" s="1"/>
  <c r="S58" i="108" s="1"/>
  <c r="S59" i="108" s="1"/>
  <c r="S60" i="108" s="1"/>
  <c r="S61" i="108" s="1"/>
  <c r="S62" i="108" s="1"/>
  <c r="S63" i="108" s="1"/>
  <c r="S64" i="108" s="1"/>
  <c r="S65" i="108" s="1"/>
  <c r="S66" i="108" s="1"/>
  <c r="S67" i="108" s="1"/>
  <c r="S68" i="108" s="1"/>
  <c r="S69" i="108" s="1"/>
  <c r="S70" i="108" s="1"/>
  <c r="S71" i="108" s="1"/>
  <c r="S72" i="108" s="1"/>
  <c r="S73" i="108" s="1"/>
  <c r="S74" i="108" s="1"/>
  <c r="S75" i="108" s="1"/>
  <c r="S76" i="108" s="1"/>
  <c r="S77" i="108" s="1"/>
  <c r="S78" i="108" s="1"/>
  <c r="S79" i="108" s="1"/>
  <c r="S80" i="108" s="1"/>
  <c r="S81" i="108" s="1"/>
  <c r="S82" i="108" s="1"/>
  <c r="S83" i="108" s="1"/>
  <c r="S84" i="108" s="1"/>
  <c r="S85" i="108" s="1"/>
  <c r="S86" i="108" s="1"/>
  <c r="S87" i="108" s="1"/>
  <c r="S88" i="108" s="1"/>
  <c r="S89" i="108" s="1"/>
  <c r="S90" i="108" s="1"/>
  <c r="S91" i="108" s="1"/>
  <c r="O22" i="110" l="1"/>
  <c r="O23" i="110" s="1"/>
  <c r="O24" i="110" s="1"/>
  <c r="O25" i="110" s="1"/>
  <c r="O26" i="110" s="1"/>
  <c r="O27" i="110" s="1"/>
  <c r="O28" i="110" s="1"/>
  <c r="O29" i="110" s="1"/>
  <c r="O30" i="110" s="1"/>
  <c r="O31" i="110" s="1"/>
  <c r="O32" i="110" s="1"/>
  <c r="O33" i="110" s="1"/>
  <c r="O34" i="110" s="1"/>
  <c r="O35" i="110" s="1"/>
  <c r="O36" i="110" s="1"/>
  <c r="O37" i="110" s="1"/>
  <c r="O38" i="110" s="1"/>
  <c r="O39" i="110" s="1"/>
  <c r="O40" i="110" s="1"/>
  <c r="O41" i="110" s="1"/>
  <c r="O42" i="110" s="1"/>
  <c r="O43" i="110" s="1"/>
  <c r="O44" i="110" s="1"/>
  <c r="O45" i="110" s="1"/>
  <c r="O46" i="110" s="1"/>
  <c r="O47" i="110" s="1"/>
  <c r="O48" i="110" s="1"/>
  <c r="O49" i="110" s="1"/>
  <c r="O50" i="110" s="1"/>
  <c r="O51" i="110" s="1"/>
  <c r="O52" i="110" s="1"/>
  <c r="O53" i="110" s="1"/>
  <c r="O54" i="110" s="1"/>
  <c r="O55" i="110" s="1"/>
  <c r="O56" i="110" s="1"/>
  <c r="O57" i="110" s="1"/>
  <c r="O58" i="110" s="1"/>
  <c r="O59" i="110" s="1"/>
  <c r="O60" i="110" s="1"/>
  <c r="O61" i="110" s="1"/>
  <c r="O62" i="110" s="1"/>
  <c r="O63" i="110" s="1"/>
  <c r="O64" i="110" s="1"/>
  <c r="O65" i="110" s="1"/>
  <c r="O66" i="110" s="1"/>
  <c r="O67" i="110" s="1"/>
  <c r="O68" i="110" s="1"/>
  <c r="O69" i="110" s="1"/>
  <c r="O70" i="110" s="1"/>
  <c r="O71" i="110" s="1"/>
  <c r="O72" i="110" s="1"/>
  <c r="O73" i="110" s="1"/>
  <c r="O74" i="110" s="1"/>
  <c r="O75" i="110" s="1"/>
  <c r="O76" i="110" s="1"/>
  <c r="O77" i="110" s="1"/>
  <c r="O78" i="110" s="1"/>
  <c r="O79" i="110" s="1"/>
  <c r="O80" i="110" s="1"/>
  <c r="O81" i="110" s="1"/>
  <c r="O82" i="110" s="1"/>
  <c r="O83" i="110" s="1"/>
  <c r="O84" i="110" s="1"/>
  <c r="O85" i="110" s="1"/>
  <c r="O86" i="110" s="1"/>
  <c r="O87" i="110" s="1"/>
  <c r="O88" i="110" s="1"/>
  <c r="O89" i="110" s="1"/>
  <c r="O90" i="110" s="1"/>
  <c r="O91" i="110" s="1"/>
  <c r="O92" i="110" s="1"/>
  <c r="O93" i="110" s="1"/>
  <c r="O94" i="110" s="1"/>
  <c r="O95" i="110" s="1"/>
  <c r="O96" i="110" s="1"/>
  <c r="S22" i="110"/>
  <c r="S23" i="110" s="1"/>
  <c r="S24" i="110" s="1"/>
  <c r="S25" i="110" s="1"/>
  <c r="S26" i="110" s="1"/>
  <c r="S27" i="110" s="1"/>
  <c r="S28" i="110" s="1"/>
  <c r="S29" i="110" s="1"/>
  <c r="S30" i="110" s="1"/>
  <c r="S31" i="110" s="1"/>
  <c r="S32" i="110" s="1"/>
  <c r="S33" i="110" s="1"/>
  <c r="S34" i="110" s="1"/>
  <c r="S35" i="110" s="1"/>
  <c r="S36" i="110" s="1"/>
  <c r="S37" i="110" s="1"/>
  <c r="S38" i="110" s="1"/>
  <c r="S39" i="110" s="1"/>
  <c r="S40" i="110" s="1"/>
  <c r="S41" i="110" s="1"/>
  <c r="S42" i="110" s="1"/>
  <c r="S43" i="110" s="1"/>
  <c r="S44" i="110" s="1"/>
  <c r="S45" i="110" s="1"/>
  <c r="S46" i="110" s="1"/>
  <c r="S47" i="110" s="1"/>
  <c r="S48" i="110" s="1"/>
  <c r="S49" i="110" s="1"/>
  <c r="S50" i="110" s="1"/>
  <c r="S51" i="110" s="1"/>
  <c r="S52" i="110" s="1"/>
  <c r="S53" i="110" s="1"/>
  <c r="K54" i="110"/>
  <c r="M54" i="110" s="1"/>
  <c r="S54" i="110" s="1"/>
  <c r="S55" i="110" s="1"/>
  <c r="S56" i="110" s="1"/>
  <c r="S57" i="110" s="1"/>
  <c r="S58" i="110" s="1"/>
  <c r="S59" i="110" s="1"/>
  <c r="S60" i="110" s="1"/>
  <c r="S61" i="110" s="1"/>
  <c r="S62" i="110" s="1"/>
  <c r="S63" i="110" s="1"/>
  <c r="S64" i="110" s="1"/>
  <c r="S65" i="110" s="1"/>
  <c r="S66" i="110" s="1"/>
  <c r="S67" i="110" s="1"/>
  <c r="S68" i="110" s="1"/>
  <c r="S69" i="110" s="1"/>
  <c r="S70" i="110" s="1"/>
  <c r="S71" i="110" s="1"/>
  <c r="S72" i="110" s="1"/>
  <c r="S73" i="110" s="1"/>
  <c r="S74" i="110" s="1"/>
  <c r="S75" i="110" s="1"/>
  <c r="S76" i="110" s="1"/>
  <c r="S77" i="110" s="1"/>
  <c r="S78" i="110" s="1"/>
  <c r="S79" i="110" s="1"/>
  <c r="S80" i="110" s="1"/>
  <c r="S81" i="110" s="1"/>
  <c r="S82" i="110" s="1"/>
  <c r="S83" i="110" s="1"/>
  <c r="S84" i="110" s="1"/>
  <c r="S85" i="110" s="1"/>
  <c r="S86" i="110" s="1"/>
  <c r="S87" i="110" s="1"/>
  <c r="S88" i="110" s="1"/>
  <c r="S89" i="110" s="1"/>
  <c r="S90" i="110" s="1"/>
  <c r="S91" i="110" s="1"/>
  <c r="S92" i="110" s="1"/>
  <c r="S93" i="110" s="1"/>
  <c r="S94" i="110" s="1"/>
  <c r="S95" i="110" s="1"/>
  <c r="S96" i="110" s="1"/>
  <c r="N53" i="110"/>
  <c r="M37" i="108"/>
  <c r="M36" i="108"/>
  <c r="M34" i="108"/>
  <c r="M33" i="108"/>
  <c r="M32" i="108"/>
  <c r="M31" i="108"/>
  <c r="M30" i="108"/>
  <c r="M27" i="108"/>
  <c r="M26" i="108"/>
  <c r="M25" i="108"/>
  <c r="M24" i="108"/>
  <c r="M23" i="108"/>
  <c r="M22" i="108"/>
  <c r="M21" i="108"/>
  <c r="K16" i="110" l="1"/>
  <c r="K15" i="110" s="1"/>
  <c r="N54" i="110"/>
  <c r="N55" i="110" s="1"/>
  <c r="N56" i="110" s="1"/>
  <c r="N57" i="110" s="1"/>
  <c r="N58" i="110" s="1"/>
  <c r="N59" i="110" s="1"/>
  <c r="N60" i="110" s="1"/>
  <c r="N61" i="110" s="1"/>
  <c r="N62" i="110" s="1"/>
  <c r="N63" i="110" s="1"/>
  <c r="N64" i="110" s="1"/>
  <c r="N65" i="110" s="1"/>
  <c r="N66" i="110" s="1"/>
  <c r="N67" i="110" s="1"/>
  <c r="N68" i="110" s="1"/>
  <c r="N69" i="110" s="1"/>
  <c r="N70" i="110" s="1"/>
  <c r="N71" i="110" s="1"/>
  <c r="N72" i="110" s="1"/>
  <c r="N73" i="110" s="1"/>
  <c r="N74" i="110" s="1"/>
  <c r="N75" i="110" s="1"/>
  <c r="N76" i="110" s="1"/>
  <c r="N77" i="110" s="1"/>
  <c r="N78" i="110" s="1"/>
  <c r="N79" i="110" s="1"/>
  <c r="N80" i="110" s="1"/>
  <c r="N81" i="110" s="1"/>
  <c r="N82" i="110" s="1"/>
  <c r="N83" i="110" s="1"/>
  <c r="N84" i="110" s="1"/>
  <c r="N85" i="110" s="1"/>
  <c r="N86" i="110" s="1"/>
  <c r="N87" i="110" s="1"/>
  <c r="N88" i="110" s="1"/>
  <c r="N89" i="110" s="1"/>
  <c r="N90" i="110" s="1"/>
  <c r="N91" i="110" s="1"/>
  <c r="N92" i="110" s="1"/>
  <c r="N93" i="110" s="1"/>
  <c r="N94" i="110" s="1"/>
  <c r="N95" i="110" s="1"/>
  <c r="N96" i="110" s="1"/>
  <c r="M16" i="110"/>
  <c r="K35" i="108"/>
  <c r="M35" i="108" s="1"/>
  <c r="M14" i="110" l="1"/>
  <c r="M15" i="110"/>
  <c r="N20" i="108"/>
  <c r="N21" i="108" s="1"/>
  <c r="N22" i="108" s="1"/>
  <c r="N23" i="108" s="1"/>
  <c r="N24" i="108" s="1"/>
  <c r="N25" i="108" s="1"/>
  <c r="N26" i="108" s="1"/>
  <c r="N27" i="108" s="1"/>
  <c r="N28" i="108" s="1"/>
  <c r="N29" i="108" s="1"/>
  <c r="N30" i="108" s="1"/>
  <c r="N31" i="108" s="1"/>
  <c r="N32" i="108" s="1"/>
  <c r="N33" i="108" s="1"/>
  <c r="N34" i="108" s="1"/>
  <c r="N35" i="108" s="1"/>
  <c r="N36" i="108" s="1"/>
  <c r="N37" i="108" s="1"/>
  <c r="N38" i="108" s="1"/>
  <c r="N39" i="108" s="1"/>
  <c r="N40" i="108" s="1"/>
  <c r="N41" i="108" s="1"/>
  <c r="N42" i="108" s="1"/>
  <c r="N43" i="108" s="1"/>
  <c r="N44" i="108" s="1"/>
  <c r="N45" i="108" s="1"/>
  <c r="N46" i="108" s="1"/>
  <c r="N47" i="108" s="1"/>
  <c r="N48" i="108" s="1"/>
  <c r="N49" i="108" s="1"/>
  <c r="N50" i="108" s="1"/>
  <c r="N51" i="108" s="1"/>
  <c r="N52" i="108" s="1"/>
  <c r="N53" i="108" s="1"/>
  <c r="N54" i="108" s="1"/>
  <c r="N55" i="108" s="1"/>
  <c r="N56" i="108" s="1"/>
  <c r="N57" i="108" s="1"/>
  <c r="N58" i="108" s="1"/>
  <c r="N59" i="108" s="1"/>
  <c r="N60" i="108" s="1"/>
  <c r="N61" i="108" s="1"/>
  <c r="N62" i="108" s="1"/>
  <c r="N63" i="108" s="1"/>
  <c r="N64" i="108" s="1"/>
  <c r="N65" i="108" s="1"/>
  <c r="N66" i="108" s="1"/>
  <c r="N67" i="108" s="1"/>
  <c r="N68" i="108" s="1"/>
  <c r="N69" i="108" s="1"/>
  <c r="N70" i="108" s="1"/>
  <c r="N71" i="108" s="1"/>
  <c r="N72" i="108" s="1"/>
  <c r="N73" i="108" s="1"/>
  <c r="N74" i="108" s="1"/>
  <c r="N75" i="108" s="1"/>
  <c r="N76" i="108" s="1"/>
  <c r="N77" i="108" s="1"/>
  <c r="N78" i="108" s="1"/>
  <c r="N79" i="108" s="1"/>
  <c r="N80" i="108" s="1"/>
  <c r="N81" i="108" s="1"/>
  <c r="N82" i="108" s="1"/>
  <c r="N83" i="108" s="1"/>
  <c r="N84" i="108" s="1"/>
  <c r="N85" i="108" s="1"/>
  <c r="N86" i="108" s="1"/>
  <c r="N87" i="108" s="1"/>
  <c r="N88" i="108" s="1"/>
  <c r="N89" i="108" s="1"/>
  <c r="N90" i="108" s="1"/>
  <c r="N91" i="108" s="1"/>
  <c r="M20" i="108"/>
  <c r="E14" i="108"/>
  <c r="D14" i="108"/>
  <c r="K13" i="108"/>
  <c r="J13" i="108"/>
  <c r="E13" i="108"/>
  <c r="G12" i="108" s="1"/>
  <c r="D13" i="108"/>
  <c r="L12" i="108"/>
  <c r="F12" i="108"/>
  <c r="L11" i="108"/>
  <c r="F11" i="108"/>
  <c r="L10" i="108"/>
  <c r="F10" i="108"/>
  <c r="L9" i="108"/>
  <c r="F9" i="108"/>
  <c r="L8" i="108"/>
  <c r="F8" i="108"/>
  <c r="L7" i="108"/>
  <c r="F7" i="108"/>
  <c r="L6" i="108"/>
  <c r="F6" i="108"/>
  <c r="L5" i="108"/>
  <c r="M5" i="108" s="1"/>
  <c r="F5" i="108"/>
  <c r="F14" i="108" l="1"/>
  <c r="M12" i="108"/>
  <c r="L13" i="108"/>
  <c r="M11" i="108"/>
  <c r="F13" i="108"/>
  <c r="X13" i="108" s="1"/>
  <c r="M6" i="108"/>
  <c r="P14" i="108"/>
  <c r="Q14" i="108"/>
  <c r="M8" i="108"/>
  <c r="M9" i="108"/>
  <c r="M10" i="108"/>
  <c r="K16" i="108"/>
  <c r="S20" i="108"/>
  <c r="S21" i="108" s="1"/>
  <c r="S22" i="108" s="1"/>
  <c r="S23" i="108" s="1"/>
  <c r="S24" i="108" s="1"/>
  <c r="O20" i="108"/>
  <c r="O21" i="108" s="1"/>
  <c r="O22" i="108" s="1"/>
  <c r="O23" i="108" s="1"/>
  <c r="O24" i="108" s="1"/>
  <c r="O25" i="108" s="1"/>
  <c r="O26" i="108" s="1"/>
  <c r="O27" i="108" s="1"/>
  <c r="O28" i="108" s="1"/>
  <c r="O29" i="108" s="1"/>
  <c r="O30" i="108" s="1"/>
  <c r="O31" i="108" s="1"/>
  <c r="O32" i="108" s="1"/>
  <c r="O33" i="108" s="1"/>
  <c r="O34" i="108" s="1"/>
  <c r="O35" i="108" s="1"/>
  <c r="O36" i="108" s="1"/>
  <c r="O37" i="108" s="1"/>
  <c r="O38" i="108" s="1"/>
  <c r="O39" i="108" s="1"/>
  <c r="O40" i="108" s="1"/>
  <c r="O41" i="108" s="1"/>
  <c r="O42" i="108" s="1"/>
  <c r="O43" i="108" s="1"/>
  <c r="O44" i="108" s="1"/>
  <c r="O45" i="108" s="1"/>
  <c r="O46" i="108" s="1"/>
  <c r="O47" i="108" s="1"/>
  <c r="O48" i="108" s="1"/>
  <c r="O49" i="108" s="1"/>
  <c r="O50" i="108" s="1"/>
  <c r="O51" i="108" s="1"/>
  <c r="O52" i="108" s="1"/>
  <c r="O53" i="108" s="1"/>
  <c r="O54" i="108" s="1"/>
  <c r="O55" i="108" s="1"/>
  <c r="O56" i="108" s="1"/>
  <c r="O57" i="108" s="1"/>
  <c r="O58" i="108" s="1"/>
  <c r="O59" i="108" s="1"/>
  <c r="O60" i="108" s="1"/>
  <c r="O61" i="108" s="1"/>
  <c r="O62" i="108" s="1"/>
  <c r="O63" i="108" s="1"/>
  <c r="O64" i="108" s="1"/>
  <c r="O65" i="108" s="1"/>
  <c r="O66" i="108" s="1"/>
  <c r="O67" i="108" s="1"/>
  <c r="O68" i="108" s="1"/>
  <c r="O69" i="108" s="1"/>
  <c r="O70" i="108" s="1"/>
  <c r="O71" i="108" s="1"/>
  <c r="O72" i="108" s="1"/>
  <c r="O73" i="108" s="1"/>
  <c r="O74" i="108" s="1"/>
  <c r="O75" i="108" s="1"/>
  <c r="O76" i="108" s="1"/>
  <c r="O77" i="108" s="1"/>
  <c r="O78" i="108" s="1"/>
  <c r="O79" i="108" s="1"/>
  <c r="O80" i="108" s="1"/>
  <c r="O81" i="108" s="1"/>
  <c r="O82" i="108" s="1"/>
  <c r="O83" i="108" s="1"/>
  <c r="O84" i="108" s="1"/>
  <c r="O85" i="108" s="1"/>
  <c r="O86" i="108" s="1"/>
  <c r="O87" i="108" s="1"/>
  <c r="O88" i="108" s="1"/>
  <c r="O89" i="108" s="1"/>
  <c r="O90" i="108" s="1"/>
  <c r="O91" i="108" s="1"/>
  <c r="M16" i="108"/>
  <c r="M14" i="108" s="1"/>
  <c r="J14" i="108"/>
  <c r="M7" i="108"/>
  <c r="K14" i="108"/>
  <c r="L14" i="108" l="1"/>
  <c r="M13" i="108"/>
  <c r="S25" i="108"/>
  <c r="S26" i="108" s="1"/>
  <c r="S27" i="108" s="1"/>
  <c r="S30" i="108" s="1"/>
  <c r="S31" i="108" s="1"/>
  <c r="S32" i="108" s="1"/>
  <c r="S33" i="108" s="1"/>
  <c r="S34" i="108" s="1"/>
  <c r="S35" i="108" s="1"/>
  <c r="S36" i="108" s="1"/>
  <c r="S37" i="108" s="1"/>
  <c r="R14" i="108"/>
  <c r="G13" i="108"/>
  <c r="G11" i="108" s="1"/>
  <c r="N20" i="106"/>
  <c r="N21" i="106" s="1"/>
  <c r="N22" i="106" s="1"/>
  <c r="N23" i="106" s="1"/>
  <c r="N24" i="106" s="1"/>
  <c r="M94" i="106"/>
  <c r="M93" i="106"/>
  <c r="M92" i="106"/>
  <c r="M90" i="106"/>
  <c r="M89" i="106"/>
  <c r="M88" i="106"/>
  <c r="M87" i="106"/>
  <c r="M86" i="106"/>
  <c r="M85" i="106"/>
  <c r="M84" i="106"/>
  <c r="M83" i="106"/>
  <c r="M82" i="106"/>
  <c r="M81" i="106"/>
  <c r="M80" i="106"/>
  <c r="M79" i="106"/>
  <c r="M78" i="106"/>
  <c r="M77" i="106"/>
  <c r="M76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D222" i="2" l="1"/>
  <c r="E14" i="106"/>
  <c r="D14" i="106"/>
  <c r="E13" i="106"/>
  <c r="G12" i="106" s="1"/>
  <c r="D13" i="106"/>
  <c r="L12" i="106"/>
  <c r="F12" i="106"/>
  <c r="L11" i="106"/>
  <c r="F11" i="106"/>
  <c r="L10" i="106"/>
  <c r="F10" i="106"/>
  <c r="L9" i="106"/>
  <c r="F9" i="106"/>
  <c r="L8" i="106"/>
  <c r="F8" i="106"/>
  <c r="L7" i="106"/>
  <c r="F7" i="106"/>
  <c r="F6" i="106"/>
  <c r="L5" i="106"/>
  <c r="F5" i="106"/>
  <c r="S38" i="108" l="1"/>
  <c r="M11" i="106"/>
  <c r="M7" i="106"/>
  <c r="M10" i="106"/>
  <c r="M9" i="106"/>
  <c r="M12" i="106"/>
  <c r="M5" i="106"/>
  <c r="F13" i="106"/>
  <c r="G13" i="106" s="1"/>
  <c r="G11" i="106" s="1"/>
  <c r="F14" i="106"/>
  <c r="M8" i="106"/>
  <c r="N20" i="104"/>
  <c r="O20" i="104"/>
  <c r="O21" i="104" s="1"/>
  <c r="X13" i="106" l="1"/>
  <c r="D215" i="2"/>
  <c r="N21" i="104"/>
  <c r="N22" i="104" s="1"/>
  <c r="N23" i="104" s="1"/>
  <c r="N24" i="104" s="1"/>
  <c r="N25" i="104" s="1"/>
  <c r="N26" i="104" s="1"/>
  <c r="E14" i="104"/>
  <c r="D14" i="104"/>
  <c r="K13" i="104"/>
  <c r="J13" i="104"/>
  <c r="E13" i="104"/>
  <c r="D13" i="104"/>
  <c r="L12" i="104"/>
  <c r="F12" i="104"/>
  <c r="L11" i="104"/>
  <c r="F11" i="104"/>
  <c r="L10" i="104"/>
  <c r="F10" i="104"/>
  <c r="L9" i="104"/>
  <c r="F9" i="104"/>
  <c r="L8" i="104"/>
  <c r="F8" i="104"/>
  <c r="L7" i="104"/>
  <c r="F7" i="104"/>
  <c r="L6" i="104"/>
  <c r="F6" i="104"/>
  <c r="L5" i="104"/>
  <c r="F5" i="104"/>
  <c r="O20" i="102"/>
  <c r="O21" i="102" s="1"/>
  <c r="N20" i="102"/>
  <c r="N21" i="102" s="1"/>
  <c r="L20" i="106" l="1"/>
  <c r="M20" i="106" s="1"/>
  <c r="L25" i="106"/>
  <c r="K25" i="106" s="1"/>
  <c r="L22" i="106"/>
  <c r="M22" i="106" s="1"/>
  <c r="L21" i="106"/>
  <c r="M21" i="106" s="1"/>
  <c r="L90" i="104"/>
  <c r="M90" i="104" s="1"/>
  <c r="L86" i="104"/>
  <c r="M86" i="104" s="1"/>
  <c r="L74" i="104"/>
  <c r="M74" i="104" s="1"/>
  <c r="L62" i="104"/>
  <c r="M62" i="104" s="1"/>
  <c r="L50" i="104"/>
  <c r="M50" i="104" s="1"/>
  <c r="L38" i="104"/>
  <c r="M38" i="104" s="1"/>
  <c r="L65" i="104"/>
  <c r="M65" i="104" s="1"/>
  <c r="L39" i="104"/>
  <c r="M39" i="104" s="1"/>
  <c r="L98" i="104"/>
  <c r="M98" i="104" s="1"/>
  <c r="L85" i="104"/>
  <c r="M85" i="104" s="1"/>
  <c r="L73" i="104"/>
  <c r="M73" i="104" s="1"/>
  <c r="L61" i="104"/>
  <c r="M61" i="104" s="1"/>
  <c r="L49" i="104"/>
  <c r="M49" i="104" s="1"/>
  <c r="L37" i="104"/>
  <c r="M37" i="104" s="1"/>
  <c r="L31" i="104"/>
  <c r="M31" i="104" s="1"/>
  <c r="L41" i="104"/>
  <c r="M41" i="104" s="1"/>
  <c r="L28" i="104"/>
  <c r="L97" i="104"/>
  <c r="M97" i="104" s="1"/>
  <c r="L84" i="104"/>
  <c r="M84" i="104" s="1"/>
  <c r="L72" i="104"/>
  <c r="M72" i="104" s="1"/>
  <c r="L60" i="104"/>
  <c r="M60" i="104" s="1"/>
  <c r="L48" i="104"/>
  <c r="M48" i="104" s="1"/>
  <c r="L36" i="104"/>
  <c r="M36" i="104" s="1"/>
  <c r="L66" i="104"/>
  <c r="M66" i="104" s="1"/>
  <c r="L63" i="104"/>
  <c r="M63" i="104" s="1"/>
  <c r="L96" i="104"/>
  <c r="M96" i="104" s="1"/>
  <c r="L83" i="104"/>
  <c r="M83" i="104" s="1"/>
  <c r="L71" i="104"/>
  <c r="M71" i="104" s="1"/>
  <c r="L59" i="104"/>
  <c r="M59" i="104" s="1"/>
  <c r="L47" i="104"/>
  <c r="M47" i="104" s="1"/>
  <c r="L35" i="104"/>
  <c r="M35" i="104" s="1"/>
  <c r="L32" i="104"/>
  <c r="M32" i="104" s="1"/>
  <c r="L77" i="104"/>
  <c r="M77" i="104" s="1"/>
  <c r="L95" i="104"/>
  <c r="M95" i="104" s="1"/>
  <c r="L82" i="104"/>
  <c r="M82" i="104" s="1"/>
  <c r="L70" i="104"/>
  <c r="M70" i="104" s="1"/>
  <c r="L58" i="104"/>
  <c r="M58" i="104" s="1"/>
  <c r="L46" i="104"/>
  <c r="M46" i="104" s="1"/>
  <c r="L34" i="104"/>
  <c r="M34" i="104" s="1"/>
  <c r="L33" i="104"/>
  <c r="M33" i="104" s="1"/>
  <c r="L53" i="104"/>
  <c r="M53" i="104" s="1"/>
  <c r="L51" i="104"/>
  <c r="M51" i="104" s="1"/>
  <c r="L94" i="104"/>
  <c r="M94" i="104" s="1"/>
  <c r="L81" i="104"/>
  <c r="M81" i="104" s="1"/>
  <c r="L69" i="104"/>
  <c r="M69" i="104" s="1"/>
  <c r="L57" i="104"/>
  <c r="M57" i="104" s="1"/>
  <c r="L45" i="104"/>
  <c r="M45" i="104" s="1"/>
  <c r="L30" i="104"/>
  <c r="M30" i="104" s="1"/>
  <c r="L76" i="104"/>
  <c r="M76" i="104" s="1"/>
  <c r="L93" i="104"/>
  <c r="M93" i="104" s="1"/>
  <c r="L80" i="104"/>
  <c r="M80" i="104" s="1"/>
  <c r="L68" i="104"/>
  <c r="M68" i="104" s="1"/>
  <c r="L56" i="104"/>
  <c r="M56" i="104" s="1"/>
  <c r="L44" i="104"/>
  <c r="M44" i="104" s="1"/>
  <c r="L54" i="104"/>
  <c r="M54" i="104" s="1"/>
  <c r="L52" i="104"/>
  <c r="M52" i="104" s="1"/>
  <c r="L92" i="104"/>
  <c r="M92" i="104" s="1"/>
  <c r="L79" i="104"/>
  <c r="M79" i="104" s="1"/>
  <c r="L67" i="104"/>
  <c r="M67" i="104" s="1"/>
  <c r="L55" i="104"/>
  <c r="M55" i="104" s="1"/>
  <c r="L43" i="104"/>
  <c r="M43" i="104" s="1"/>
  <c r="L29" i="104"/>
  <c r="M29" i="104" s="1"/>
  <c r="L64" i="104"/>
  <c r="M64" i="104" s="1"/>
  <c r="L91" i="104"/>
  <c r="M91" i="104" s="1"/>
  <c r="L78" i="104"/>
  <c r="M78" i="104" s="1"/>
  <c r="L42" i="104"/>
  <c r="M42" i="104" s="1"/>
  <c r="L40" i="104"/>
  <c r="M40" i="104" s="1"/>
  <c r="L89" i="104"/>
  <c r="M89" i="104" s="1"/>
  <c r="L88" i="104"/>
  <c r="M88" i="104" s="1"/>
  <c r="L87" i="104"/>
  <c r="M87" i="104" s="1"/>
  <c r="L75" i="104"/>
  <c r="M75" i="104" s="1"/>
  <c r="M5" i="104"/>
  <c r="M9" i="104"/>
  <c r="M10" i="104"/>
  <c r="K14" i="104"/>
  <c r="P14" i="104"/>
  <c r="M8" i="104"/>
  <c r="M6" i="104"/>
  <c r="M11" i="104"/>
  <c r="G12" i="104"/>
  <c r="L13" i="104"/>
  <c r="L14" i="104" s="1"/>
  <c r="M7" i="104"/>
  <c r="F14" i="104"/>
  <c r="F13" i="104"/>
  <c r="J14" i="104"/>
  <c r="Q14" i="104"/>
  <c r="M12" i="104"/>
  <c r="D208" i="2"/>
  <c r="E14" i="102"/>
  <c r="D14" i="102"/>
  <c r="K13" i="102"/>
  <c r="J13" i="102"/>
  <c r="E13" i="102"/>
  <c r="D13" i="102"/>
  <c r="L12" i="102"/>
  <c r="F12" i="102"/>
  <c r="L11" i="102"/>
  <c r="F11" i="102"/>
  <c r="L10" i="102"/>
  <c r="F10" i="102"/>
  <c r="L9" i="102"/>
  <c r="F9" i="102"/>
  <c r="L8" i="102"/>
  <c r="F8" i="102"/>
  <c r="L7" i="102"/>
  <c r="F7" i="102"/>
  <c r="L6" i="102"/>
  <c r="F6" i="102"/>
  <c r="L5" i="102"/>
  <c r="F5" i="102"/>
  <c r="M13" i="99"/>
  <c r="M12" i="99"/>
  <c r="M11" i="99"/>
  <c r="M10" i="99"/>
  <c r="M9" i="99"/>
  <c r="M8" i="99"/>
  <c r="M7" i="99"/>
  <c r="M6" i="99"/>
  <c r="L10" i="99"/>
  <c r="L9" i="99"/>
  <c r="L8" i="99"/>
  <c r="L7" i="99"/>
  <c r="L6" i="99"/>
  <c r="F10" i="99"/>
  <c r="F9" i="99"/>
  <c r="F8" i="99"/>
  <c r="F7" i="99"/>
  <c r="F6" i="99"/>
  <c r="K26" i="106" l="1"/>
  <c r="M26" i="106" s="1"/>
  <c r="N25" i="106"/>
  <c r="S20" i="106"/>
  <c r="S21" i="106" s="1"/>
  <c r="S22" i="106" s="1"/>
  <c r="S25" i="106" s="1"/>
  <c r="O20" i="106"/>
  <c r="O21" i="106" s="1"/>
  <c r="O22" i="106" s="1"/>
  <c r="O23" i="106" s="1"/>
  <c r="O24" i="106" s="1"/>
  <c r="O25" i="106" s="1"/>
  <c r="L26" i="104"/>
  <c r="M26" i="104" s="1"/>
  <c r="I26" i="104"/>
  <c r="J26" i="104" s="1"/>
  <c r="L25" i="104"/>
  <c r="M25" i="104" s="1"/>
  <c r="L24" i="104"/>
  <c r="M24" i="104" s="1"/>
  <c r="L23" i="104"/>
  <c r="M23" i="104" s="1"/>
  <c r="L27" i="104"/>
  <c r="K27" i="104" s="1"/>
  <c r="L22" i="104"/>
  <c r="M22" i="104" s="1"/>
  <c r="M13" i="104"/>
  <c r="R14" i="104"/>
  <c r="G13" i="104"/>
  <c r="G11" i="104" s="1"/>
  <c r="X13" i="104"/>
  <c r="L92" i="102"/>
  <c r="M92" i="102" s="1"/>
  <c r="L80" i="102"/>
  <c r="M80" i="102" s="1"/>
  <c r="L68" i="102"/>
  <c r="M68" i="102" s="1"/>
  <c r="L56" i="102"/>
  <c r="M56" i="102" s="1"/>
  <c r="L44" i="102"/>
  <c r="M44" i="102" s="1"/>
  <c r="L32" i="102"/>
  <c r="M32" i="102" s="1"/>
  <c r="L24" i="102"/>
  <c r="M24" i="102" s="1"/>
  <c r="L47" i="102"/>
  <c r="M47" i="102" s="1"/>
  <c r="L69" i="102"/>
  <c r="M69" i="102" s="1"/>
  <c r="L91" i="102"/>
  <c r="M91" i="102" s="1"/>
  <c r="L79" i="102"/>
  <c r="M79" i="102" s="1"/>
  <c r="L67" i="102"/>
  <c r="M67" i="102" s="1"/>
  <c r="L55" i="102"/>
  <c r="M55" i="102" s="1"/>
  <c r="L43" i="102"/>
  <c r="M43" i="102" s="1"/>
  <c r="L31" i="102"/>
  <c r="M31" i="102" s="1"/>
  <c r="L83" i="102"/>
  <c r="M83" i="102" s="1"/>
  <c r="L81" i="102"/>
  <c r="M81" i="102" s="1"/>
  <c r="L90" i="102"/>
  <c r="M90" i="102" s="1"/>
  <c r="L78" i="102"/>
  <c r="M78" i="102" s="1"/>
  <c r="L66" i="102"/>
  <c r="M66" i="102" s="1"/>
  <c r="L54" i="102"/>
  <c r="M54" i="102" s="1"/>
  <c r="L42" i="102"/>
  <c r="M42" i="102" s="1"/>
  <c r="L30" i="102"/>
  <c r="M30" i="102" s="1"/>
  <c r="L36" i="102"/>
  <c r="M36" i="102" s="1"/>
  <c r="L71" i="102"/>
  <c r="M71" i="102" s="1"/>
  <c r="L89" i="102"/>
  <c r="M89" i="102" s="1"/>
  <c r="L77" i="102"/>
  <c r="M77" i="102" s="1"/>
  <c r="L65" i="102"/>
  <c r="M65" i="102" s="1"/>
  <c r="L53" i="102"/>
  <c r="M53" i="102" s="1"/>
  <c r="L41" i="102"/>
  <c r="M41" i="102" s="1"/>
  <c r="L29" i="102"/>
  <c r="M29" i="102" s="1"/>
  <c r="L48" i="102"/>
  <c r="M48" i="102" s="1"/>
  <c r="L23" i="102"/>
  <c r="L57" i="102"/>
  <c r="M57" i="102" s="1"/>
  <c r="L88" i="102"/>
  <c r="M88" i="102" s="1"/>
  <c r="L76" i="102"/>
  <c r="M76" i="102" s="1"/>
  <c r="L64" i="102"/>
  <c r="M64" i="102" s="1"/>
  <c r="L52" i="102"/>
  <c r="M52" i="102" s="1"/>
  <c r="L40" i="102"/>
  <c r="M40" i="102" s="1"/>
  <c r="L28" i="102"/>
  <c r="M28" i="102" s="1"/>
  <c r="L72" i="102"/>
  <c r="M72" i="102" s="1"/>
  <c r="L34" i="102"/>
  <c r="M34" i="102" s="1"/>
  <c r="L45" i="102"/>
  <c r="M45" i="102" s="1"/>
  <c r="L87" i="102"/>
  <c r="M87" i="102" s="1"/>
  <c r="L75" i="102"/>
  <c r="M75" i="102" s="1"/>
  <c r="L63" i="102"/>
  <c r="M63" i="102" s="1"/>
  <c r="L51" i="102"/>
  <c r="M51" i="102" s="1"/>
  <c r="L39" i="102"/>
  <c r="M39" i="102" s="1"/>
  <c r="L27" i="102"/>
  <c r="M27" i="102" s="1"/>
  <c r="L59" i="102"/>
  <c r="M59" i="102" s="1"/>
  <c r="L33" i="102"/>
  <c r="M33" i="102" s="1"/>
  <c r="L86" i="102"/>
  <c r="M86" i="102" s="1"/>
  <c r="L74" i="102"/>
  <c r="M74" i="102" s="1"/>
  <c r="L62" i="102"/>
  <c r="M62" i="102" s="1"/>
  <c r="L50" i="102"/>
  <c r="M50" i="102" s="1"/>
  <c r="L38" i="102"/>
  <c r="M38" i="102" s="1"/>
  <c r="L26" i="102"/>
  <c r="M26" i="102" s="1"/>
  <c r="L60" i="102"/>
  <c r="M60" i="102" s="1"/>
  <c r="L58" i="102"/>
  <c r="M58" i="102" s="1"/>
  <c r="L85" i="102"/>
  <c r="M85" i="102" s="1"/>
  <c r="L73" i="102"/>
  <c r="M73" i="102" s="1"/>
  <c r="L61" i="102"/>
  <c r="M61" i="102" s="1"/>
  <c r="L49" i="102"/>
  <c r="M49" i="102" s="1"/>
  <c r="L37" i="102"/>
  <c r="M37" i="102" s="1"/>
  <c r="L25" i="102"/>
  <c r="L84" i="102"/>
  <c r="M84" i="102" s="1"/>
  <c r="L35" i="102"/>
  <c r="M35" i="102" s="1"/>
  <c r="L82" i="102"/>
  <c r="M82" i="102" s="1"/>
  <c r="L70" i="102"/>
  <c r="M70" i="102" s="1"/>
  <c r="L46" i="102"/>
  <c r="M46" i="102" s="1"/>
  <c r="M11" i="102"/>
  <c r="M12" i="102"/>
  <c r="M5" i="102"/>
  <c r="P14" i="102"/>
  <c r="Q14" i="102"/>
  <c r="M6" i="102"/>
  <c r="F13" i="102"/>
  <c r="G13" i="102" s="1"/>
  <c r="M7" i="102"/>
  <c r="G12" i="102"/>
  <c r="F14" i="102"/>
  <c r="M9" i="102"/>
  <c r="M8" i="102"/>
  <c r="M10" i="102"/>
  <c r="L13" i="102"/>
  <c r="J14" i="102"/>
  <c r="K14" i="102"/>
  <c r="N19" i="99"/>
  <c r="N20" i="99" s="1"/>
  <c r="N21" i="99" s="1"/>
  <c r="N22" i="99" s="1"/>
  <c r="N23" i="99" s="1"/>
  <c r="N24" i="99" s="1"/>
  <c r="N25" i="99" s="1"/>
  <c r="N26" i="99" s="1"/>
  <c r="O26" i="106" l="1"/>
  <c r="O27" i="106" s="1"/>
  <c r="O28" i="106" s="1"/>
  <c r="O29" i="106" s="1"/>
  <c r="O30" i="106" s="1"/>
  <c r="O31" i="106" s="1"/>
  <c r="O32" i="106" s="1"/>
  <c r="O33" i="106" s="1"/>
  <c r="O34" i="106" s="1"/>
  <c r="O35" i="106" s="1"/>
  <c r="O36" i="106" s="1"/>
  <c r="O37" i="106" s="1"/>
  <c r="O38" i="106" s="1"/>
  <c r="O39" i="106" s="1"/>
  <c r="O40" i="106" s="1"/>
  <c r="O41" i="106" s="1"/>
  <c r="O42" i="106" s="1"/>
  <c r="O43" i="106" s="1"/>
  <c r="O44" i="106" s="1"/>
  <c r="O45" i="106" s="1"/>
  <c r="O46" i="106" s="1"/>
  <c r="O47" i="106" s="1"/>
  <c r="O48" i="106" s="1"/>
  <c r="O49" i="106" s="1"/>
  <c r="O50" i="106" s="1"/>
  <c r="O51" i="106" s="1"/>
  <c r="O52" i="106" s="1"/>
  <c r="O53" i="106" s="1"/>
  <c r="O54" i="106" s="1"/>
  <c r="O55" i="106" s="1"/>
  <c r="O56" i="106" s="1"/>
  <c r="O57" i="106" s="1"/>
  <c r="O58" i="106" s="1"/>
  <c r="O59" i="106" s="1"/>
  <c r="O60" i="106" s="1"/>
  <c r="O61" i="106" s="1"/>
  <c r="O62" i="106" s="1"/>
  <c r="O63" i="106" s="1"/>
  <c r="O64" i="106" s="1"/>
  <c r="O65" i="106" s="1"/>
  <c r="O66" i="106" s="1"/>
  <c r="O67" i="106" s="1"/>
  <c r="O68" i="106" s="1"/>
  <c r="O69" i="106" s="1"/>
  <c r="O70" i="106" s="1"/>
  <c r="O71" i="106" s="1"/>
  <c r="O72" i="106" s="1"/>
  <c r="O73" i="106" s="1"/>
  <c r="O74" i="106" s="1"/>
  <c r="O75" i="106" s="1"/>
  <c r="O76" i="106" s="1"/>
  <c r="O77" i="106" s="1"/>
  <c r="O78" i="106" s="1"/>
  <c r="O79" i="106" s="1"/>
  <c r="O80" i="106" s="1"/>
  <c r="O81" i="106" s="1"/>
  <c r="O82" i="106" s="1"/>
  <c r="O83" i="106" s="1"/>
  <c r="O84" i="106" s="1"/>
  <c r="O85" i="106" s="1"/>
  <c r="O86" i="106" s="1"/>
  <c r="O87" i="106" s="1"/>
  <c r="O88" i="106" s="1"/>
  <c r="O89" i="106" s="1"/>
  <c r="O90" i="106" s="1"/>
  <c r="O91" i="106" s="1"/>
  <c r="O92" i="106" s="1"/>
  <c r="O93" i="106" s="1"/>
  <c r="O94" i="106" s="1"/>
  <c r="N26" i="106"/>
  <c r="N27" i="106" s="1"/>
  <c r="N28" i="106" s="1"/>
  <c r="N29" i="106" s="1"/>
  <c r="N30" i="106" s="1"/>
  <c r="N31" i="106" s="1"/>
  <c r="N32" i="106" s="1"/>
  <c r="N33" i="106" s="1"/>
  <c r="N34" i="106" s="1"/>
  <c r="N35" i="106" s="1"/>
  <c r="N36" i="106" s="1"/>
  <c r="N37" i="106" s="1"/>
  <c r="N38" i="106" s="1"/>
  <c r="N39" i="106" s="1"/>
  <c r="N40" i="106" s="1"/>
  <c r="N41" i="106" s="1"/>
  <c r="N42" i="106" s="1"/>
  <c r="N43" i="106" s="1"/>
  <c r="N44" i="106" s="1"/>
  <c r="N45" i="106" s="1"/>
  <c r="N46" i="106" s="1"/>
  <c r="N47" i="106" s="1"/>
  <c r="N48" i="106" s="1"/>
  <c r="N49" i="106" s="1"/>
  <c r="N50" i="106" s="1"/>
  <c r="N51" i="106" s="1"/>
  <c r="N52" i="106" s="1"/>
  <c r="N53" i="106" s="1"/>
  <c r="N54" i="106" s="1"/>
  <c r="N55" i="106" s="1"/>
  <c r="N56" i="106" s="1"/>
  <c r="N57" i="106" s="1"/>
  <c r="N58" i="106" s="1"/>
  <c r="N59" i="106" s="1"/>
  <c r="N60" i="106" s="1"/>
  <c r="N61" i="106" s="1"/>
  <c r="N62" i="106" s="1"/>
  <c r="N63" i="106" s="1"/>
  <c r="N64" i="106" s="1"/>
  <c r="N65" i="106" s="1"/>
  <c r="N66" i="106" s="1"/>
  <c r="N67" i="106" s="1"/>
  <c r="N68" i="106" s="1"/>
  <c r="N69" i="106" s="1"/>
  <c r="N70" i="106" s="1"/>
  <c r="N71" i="106" s="1"/>
  <c r="N72" i="106" s="1"/>
  <c r="N73" i="106" s="1"/>
  <c r="N74" i="106" s="1"/>
  <c r="N75" i="106" s="1"/>
  <c r="N76" i="106" s="1"/>
  <c r="N77" i="106" s="1"/>
  <c r="N78" i="106" s="1"/>
  <c r="N79" i="106" s="1"/>
  <c r="N80" i="106" s="1"/>
  <c r="N81" i="106" s="1"/>
  <c r="N82" i="106" s="1"/>
  <c r="N83" i="106" s="1"/>
  <c r="N84" i="106" s="1"/>
  <c r="N85" i="106" s="1"/>
  <c r="N86" i="106" s="1"/>
  <c r="N87" i="106" s="1"/>
  <c r="N88" i="106" s="1"/>
  <c r="N89" i="106" s="1"/>
  <c r="N90" i="106" s="1"/>
  <c r="N91" i="106" s="1"/>
  <c r="N92" i="106" s="1"/>
  <c r="N93" i="106" s="1"/>
  <c r="N94" i="106" s="1"/>
  <c r="S26" i="106"/>
  <c r="S27" i="106" s="1"/>
  <c r="S28" i="106" s="1"/>
  <c r="S29" i="106" s="1"/>
  <c r="S30" i="106" s="1"/>
  <c r="S31" i="106" s="1"/>
  <c r="S32" i="106" s="1"/>
  <c r="S33" i="106" s="1"/>
  <c r="S34" i="106" s="1"/>
  <c r="S35" i="106" s="1"/>
  <c r="S36" i="106" s="1"/>
  <c r="S37" i="106" s="1"/>
  <c r="S38" i="106" s="1"/>
  <c r="S39" i="106" s="1"/>
  <c r="S40" i="106" s="1"/>
  <c r="S41" i="106" s="1"/>
  <c r="S42" i="106" s="1"/>
  <c r="S43" i="106" s="1"/>
  <c r="S44" i="106" s="1"/>
  <c r="S45" i="106" s="1"/>
  <c r="S46" i="106" s="1"/>
  <c r="S47" i="106" s="1"/>
  <c r="S48" i="106" s="1"/>
  <c r="S49" i="106" s="1"/>
  <c r="S50" i="106" s="1"/>
  <c r="S51" i="106" s="1"/>
  <c r="S52" i="106" s="1"/>
  <c r="S53" i="106" s="1"/>
  <c r="S54" i="106" s="1"/>
  <c r="S55" i="106" s="1"/>
  <c r="S56" i="106" s="1"/>
  <c r="S57" i="106" s="1"/>
  <c r="S58" i="106" s="1"/>
  <c r="S59" i="106" s="1"/>
  <c r="S60" i="106" s="1"/>
  <c r="S61" i="106" s="1"/>
  <c r="S62" i="106" s="1"/>
  <c r="S63" i="106" s="1"/>
  <c r="S64" i="106" s="1"/>
  <c r="S65" i="106" s="1"/>
  <c r="S66" i="106" s="1"/>
  <c r="S67" i="106" s="1"/>
  <c r="S68" i="106" s="1"/>
  <c r="S69" i="106" s="1"/>
  <c r="S70" i="106" s="1"/>
  <c r="S71" i="106" s="1"/>
  <c r="S72" i="106" s="1"/>
  <c r="S73" i="106" s="1"/>
  <c r="S74" i="106" s="1"/>
  <c r="S75" i="106" s="1"/>
  <c r="S76" i="106" s="1"/>
  <c r="S77" i="106" s="1"/>
  <c r="S78" i="106" s="1"/>
  <c r="S79" i="106" s="1"/>
  <c r="S80" i="106" s="1"/>
  <c r="S81" i="106" s="1"/>
  <c r="S82" i="106" s="1"/>
  <c r="S83" i="106" s="1"/>
  <c r="S84" i="106" s="1"/>
  <c r="S85" i="106" s="1"/>
  <c r="S86" i="106" s="1"/>
  <c r="S87" i="106" s="1"/>
  <c r="S88" i="106" s="1"/>
  <c r="S89" i="106" s="1"/>
  <c r="S90" i="106" s="1"/>
  <c r="S91" i="106" s="1"/>
  <c r="S92" i="106" s="1"/>
  <c r="S93" i="106" s="1"/>
  <c r="S94" i="106" s="1"/>
  <c r="M16" i="106"/>
  <c r="M14" i="106" s="1"/>
  <c r="K16" i="106"/>
  <c r="S22" i="104"/>
  <c r="S23" i="104" s="1"/>
  <c r="S24" i="104" s="1"/>
  <c r="S25" i="104" s="1"/>
  <c r="S26" i="104" s="1"/>
  <c r="S27" i="104" s="1"/>
  <c r="O22" i="104"/>
  <c r="O23" i="104" s="1"/>
  <c r="O24" i="104" s="1"/>
  <c r="O25" i="104" s="1"/>
  <c r="O26" i="104" s="1"/>
  <c r="O27" i="104" s="1"/>
  <c r="K28" i="104"/>
  <c r="M28" i="104" s="1"/>
  <c r="S28" i="104" s="1"/>
  <c r="S29" i="104" s="1"/>
  <c r="N27" i="104"/>
  <c r="S22" i="102"/>
  <c r="M25" i="102"/>
  <c r="G11" i="102"/>
  <c r="X13" i="102"/>
  <c r="L14" i="102"/>
  <c r="M13" i="102"/>
  <c r="R14" i="102"/>
  <c r="D202" i="2"/>
  <c r="E14" i="99"/>
  <c r="D14" i="99"/>
  <c r="K13" i="99"/>
  <c r="J13" i="99"/>
  <c r="E13" i="99"/>
  <c r="D13" i="99"/>
  <c r="L12" i="99"/>
  <c r="F12" i="99"/>
  <c r="L11" i="99"/>
  <c r="F11" i="99"/>
  <c r="L5" i="99"/>
  <c r="F5" i="99"/>
  <c r="E14" i="97"/>
  <c r="D14" i="97"/>
  <c r="N28" i="104" l="1"/>
  <c r="N29" i="104" s="1"/>
  <c r="N30" i="104" s="1"/>
  <c r="N31" i="104" s="1"/>
  <c r="N32" i="104" s="1"/>
  <c r="N33" i="104" s="1"/>
  <c r="N34" i="104" s="1"/>
  <c r="N35" i="104" s="1"/>
  <c r="N36" i="104" s="1"/>
  <c r="N37" i="104" s="1"/>
  <c r="N38" i="104" s="1"/>
  <c r="N39" i="104" s="1"/>
  <c r="N40" i="104" s="1"/>
  <c r="N41" i="104" s="1"/>
  <c r="N42" i="104" s="1"/>
  <c r="N43" i="104" s="1"/>
  <c r="N44" i="104" s="1"/>
  <c r="N45" i="104" s="1"/>
  <c r="N46" i="104" s="1"/>
  <c r="N47" i="104" s="1"/>
  <c r="N48" i="104" s="1"/>
  <c r="N49" i="104" s="1"/>
  <c r="N50" i="104" s="1"/>
  <c r="N51" i="104" s="1"/>
  <c r="N52" i="104" s="1"/>
  <c r="N53" i="104" s="1"/>
  <c r="N54" i="104" s="1"/>
  <c r="N55" i="104" s="1"/>
  <c r="N56" i="104" s="1"/>
  <c r="N57" i="104" s="1"/>
  <c r="N58" i="104" s="1"/>
  <c r="N59" i="104" s="1"/>
  <c r="N60" i="104" s="1"/>
  <c r="N61" i="104" s="1"/>
  <c r="N62" i="104" s="1"/>
  <c r="N63" i="104" s="1"/>
  <c r="N64" i="104" s="1"/>
  <c r="N65" i="104" s="1"/>
  <c r="N66" i="104" s="1"/>
  <c r="N67" i="104" s="1"/>
  <c r="N68" i="104" s="1"/>
  <c r="N69" i="104" s="1"/>
  <c r="N70" i="104" s="1"/>
  <c r="N71" i="104" s="1"/>
  <c r="N72" i="104" s="1"/>
  <c r="N73" i="104" s="1"/>
  <c r="N74" i="104" s="1"/>
  <c r="N75" i="104" s="1"/>
  <c r="N76" i="104" s="1"/>
  <c r="N77" i="104" s="1"/>
  <c r="N78" i="104" s="1"/>
  <c r="N79" i="104" s="1"/>
  <c r="N80" i="104" s="1"/>
  <c r="N81" i="104" s="1"/>
  <c r="N82" i="104" s="1"/>
  <c r="N83" i="104" s="1"/>
  <c r="N84" i="104" s="1"/>
  <c r="N85" i="104" s="1"/>
  <c r="N86" i="104" s="1"/>
  <c r="N87" i="104" s="1"/>
  <c r="N88" i="104" s="1"/>
  <c r="N89" i="104" s="1"/>
  <c r="N90" i="104" s="1"/>
  <c r="N91" i="104" s="1"/>
  <c r="N92" i="104" s="1"/>
  <c r="N93" i="104" s="1"/>
  <c r="N94" i="104" s="1"/>
  <c r="N95" i="104" s="1"/>
  <c r="N96" i="104" s="1"/>
  <c r="N97" i="104" s="1"/>
  <c r="N98" i="104" s="1"/>
  <c r="O28" i="104"/>
  <c r="O29" i="104" s="1"/>
  <c r="O30" i="104" s="1"/>
  <c r="O31" i="104" s="1"/>
  <c r="O32" i="104" s="1"/>
  <c r="O33" i="104" s="1"/>
  <c r="O34" i="104" s="1"/>
  <c r="O35" i="104" s="1"/>
  <c r="O36" i="104" s="1"/>
  <c r="O37" i="104" s="1"/>
  <c r="O38" i="104" s="1"/>
  <c r="O39" i="104" s="1"/>
  <c r="O40" i="104" s="1"/>
  <c r="O41" i="104" s="1"/>
  <c r="O42" i="104" s="1"/>
  <c r="O43" i="104" s="1"/>
  <c r="O44" i="104" s="1"/>
  <c r="O45" i="104" s="1"/>
  <c r="O46" i="104" s="1"/>
  <c r="O47" i="104" s="1"/>
  <c r="O48" i="104" s="1"/>
  <c r="O49" i="104" s="1"/>
  <c r="O50" i="104" s="1"/>
  <c r="O51" i="104" s="1"/>
  <c r="O52" i="104" s="1"/>
  <c r="O53" i="104" s="1"/>
  <c r="O54" i="104" s="1"/>
  <c r="O55" i="104" s="1"/>
  <c r="O56" i="104" s="1"/>
  <c r="O57" i="104" s="1"/>
  <c r="O58" i="104" s="1"/>
  <c r="O59" i="104" s="1"/>
  <c r="O60" i="104" s="1"/>
  <c r="O61" i="104" s="1"/>
  <c r="O62" i="104" s="1"/>
  <c r="O63" i="104" s="1"/>
  <c r="O64" i="104" s="1"/>
  <c r="O65" i="104" s="1"/>
  <c r="O66" i="104" s="1"/>
  <c r="O67" i="104" s="1"/>
  <c r="O68" i="104" s="1"/>
  <c r="O69" i="104" s="1"/>
  <c r="O70" i="104" s="1"/>
  <c r="O71" i="104" s="1"/>
  <c r="O72" i="104" s="1"/>
  <c r="O73" i="104" s="1"/>
  <c r="O74" i="104" s="1"/>
  <c r="O75" i="104" s="1"/>
  <c r="O76" i="104" s="1"/>
  <c r="O77" i="104" s="1"/>
  <c r="O78" i="104" s="1"/>
  <c r="O79" i="104" s="1"/>
  <c r="O80" i="104" s="1"/>
  <c r="O81" i="104" s="1"/>
  <c r="O82" i="104" s="1"/>
  <c r="O83" i="104" s="1"/>
  <c r="O84" i="104" s="1"/>
  <c r="O85" i="104" s="1"/>
  <c r="O86" i="104" s="1"/>
  <c r="O87" i="104" s="1"/>
  <c r="O88" i="104" s="1"/>
  <c r="O89" i="104" s="1"/>
  <c r="O90" i="104" s="1"/>
  <c r="O91" i="104" s="1"/>
  <c r="O92" i="104" s="1"/>
  <c r="O93" i="104" s="1"/>
  <c r="O94" i="104" s="1"/>
  <c r="O95" i="104" s="1"/>
  <c r="O96" i="104" s="1"/>
  <c r="O97" i="104" s="1"/>
  <c r="O98" i="104" s="1"/>
  <c r="S30" i="104"/>
  <c r="S31" i="104" s="1"/>
  <c r="L22" i="102"/>
  <c r="K22" i="102" s="1"/>
  <c r="K23" i="102" s="1"/>
  <c r="O22" i="102"/>
  <c r="L85" i="99"/>
  <c r="M85" i="99" s="1"/>
  <c r="L73" i="99"/>
  <c r="M73" i="99" s="1"/>
  <c r="L61" i="99"/>
  <c r="M61" i="99" s="1"/>
  <c r="L49" i="99"/>
  <c r="M49" i="99" s="1"/>
  <c r="L37" i="99"/>
  <c r="M37" i="99" s="1"/>
  <c r="L34" i="99"/>
  <c r="M34" i="99" s="1"/>
  <c r="L28" i="99"/>
  <c r="L93" i="99"/>
  <c r="M93" i="99" s="1"/>
  <c r="L81" i="99"/>
  <c r="M81" i="99" s="1"/>
  <c r="L69" i="99"/>
  <c r="M69" i="99" s="1"/>
  <c r="L57" i="99"/>
  <c r="M57" i="99" s="1"/>
  <c r="L45" i="99"/>
  <c r="M45" i="99" s="1"/>
  <c r="L33" i="99"/>
  <c r="M33" i="99" s="1"/>
  <c r="L80" i="99"/>
  <c r="M80" i="99" s="1"/>
  <c r="L68" i="99"/>
  <c r="M68" i="99" s="1"/>
  <c r="L56" i="99"/>
  <c r="M56" i="99" s="1"/>
  <c r="L44" i="99"/>
  <c r="M44" i="99" s="1"/>
  <c r="L32" i="99"/>
  <c r="M32" i="99" s="1"/>
  <c r="L91" i="99"/>
  <c r="M91" i="99" s="1"/>
  <c r="L79" i="99"/>
  <c r="M79" i="99" s="1"/>
  <c r="L67" i="99"/>
  <c r="M67" i="99" s="1"/>
  <c r="L55" i="99"/>
  <c r="M55" i="99" s="1"/>
  <c r="L43" i="99"/>
  <c r="M43" i="99" s="1"/>
  <c r="L31" i="99"/>
  <c r="M31" i="99" s="1"/>
  <c r="L90" i="99"/>
  <c r="M90" i="99" s="1"/>
  <c r="L78" i="99"/>
  <c r="M78" i="99" s="1"/>
  <c r="L66" i="99"/>
  <c r="M66" i="99" s="1"/>
  <c r="L54" i="99"/>
  <c r="M54" i="99" s="1"/>
  <c r="L42" i="99"/>
  <c r="M42" i="99" s="1"/>
  <c r="L30" i="99"/>
  <c r="M30" i="99" s="1"/>
  <c r="L89" i="99"/>
  <c r="M89" i="99" s="1"/>
  <c r="L77" i="99"/>
  <c r="M77" i="99" s="1"/>
  <c r="L65" i="99"/>
  <c r="M65" i="99" s="1"/>
  <c r="L53" i="99"/>
  <c r="M53" i="99" s="1"/>
  <c r="L41" i="99"/>
  <c r="M41" i="99" s="1"/>
  <c r="L29" i="99"/>
  <c r="M29" i="99" s="1"/>
  <c r="L76" i="99"/>
  <c r="M76" i="99" s="1"/>
  <c r="L64" i="99"/>
  <c r="M64" i="99" s="1"/>
  <c r="L40" i="99"/>
  <c r="M40" i="99" s="1"/>
  <c r="L92" i="99"/>
  <c r="M92" i="99" s="1"/>
  <c r="L88" i="99"/>
  <c r="M88" i="99" s="1"/>
  <c r="L87" i="99"/>
  <c r="M87" i="99" s="1"/>
  <c r="L75" i="99"/>
  <c r="M75" i="99" s="1"/>
  <c r="L63" i="99"/>
  <c r="M63" i="99" s="1"/>
  <c r="L51" i="99"/>
  <c r="M51" i="99" s="1"/>
  <c r="L39" i="99"/>
  <c r="M39" i="99" s="1"/>
  <c r="L86" i="99"/>
  <c r="M86" i="99" s="1"/>
  <c r="L74" i="99"/>
  <c r="M74" i="99" s="1"/>
  <c r="L62" i="99"/>
  <c r="M62" i="99" s="1"/>
  <c r="L50" i="99"/>
  <c r="M50" i="99" s="1"/>
  <c r="L38" i="99"/>
  <c r="M38" i="99" s="1"/>
  <c r="L84" i="99"/>
  <c r="M84" i="99" s="1"/>
  <c r="L72" i="99"/>
  <c r="M72" i="99" s="1"/>
  <c r="L60" i="99"/>
  <c r="M60" i="99" s="1"/>
  <c r="L48" i="99"/>
  <c r="M48" i="99" s="1"/>
  <c r="L36" i="99"/>
  <c r="M36" i="99" s="1"/>
  <c r="L83" i="99"/>
  <c r="M83" i="99" s="1"/>
  <c r="L71" i="99"/>
  <c r="M71" i="99" s="1"/>
  <c r="L59" i="99"/>
  <c r="M59" i="99" s="1"/>
  <c r="L47" i="99"/>
  <c r="M47" i="99" s="1"/>
  <c r="L35" i="99"/>
  <c r="M35" i="99" s="1"/>
  <c r="L82" i="99"/>
  <c r="M82" i="99" s="1"/>
  <c r="L70" i="99"/>
  <c r="M70" i="99" s="1"/>
  <c r="L58" i="99"/>
  <c r="M58" i="99" s="1"/>
  <c r="L46" i="99"/>
  <c r="M46" i="99" s="1"/>
  <c r="L52" i="99"/>
  <c r="M52" i="99" s="1"/>
  <c r="J14" i="99"/>
  <c r="G12" i="99"/>
  <c r="K14" i="99"/>
  <c r="M5" i="99"/>
  <c r="F13" i="99"/>
  <c r="P14" i="99"/>
  <c r="F14" i="99"/>
  <c r="Q14" i="99"/>
  <c r="L13" i="99"/>
  <c r="O13" i="94"/>
  <c r="M23" i="102" l="1"/>
  <c r="S23" i="102" s="1"/>
  <c r="S24" i="102" s="1"/>
  <c r="S25" i="102" s="1"/>
  <c r="S26" i="102" s="1"/>
  <c r="S27" i="102" s="1"/>
  <c r="S28" i="102" s="1"/>
  <c r="S29" i="102" s="1"/>
  <c r="S30" i="102" s="1"/>
  <c r="S31" i="102" s="1"/>
  <c r="S32" i="102" s="1"/>
  <c r="S33" i="102" s="1"/>
  <c r="S34" i="102" s="1"/>
  <c r="S35" i="102" s="1"/>
  <c r="S36" i="102" s="1"/>
  <c r="S37" i="102" s="1"/>
  <c r="S38" i="102" s="1"/>
  <c r="S39" i="102" s="1"/>
  <c r="S40" i="102" s="1"/>
  <c r="S41" i="102" s="1"/>
  <c r="S42" i="102" s="1"/>
  <c r="S43" i="102" s="1"/>
  <c r="S44" i="102" s="1"/>
  <c r="S45" i="102" s="1"/>
  <c r="S46" i="102" s="1"/>
  <c r="S47" i="102" s="1"/>
  <c r="S48" i="102" s="1"/>
  <c r="S49" i="102" s="1"/>
  <c r="S50" i="102" s="1"/>
  <c r="S51" i="102" s="1"/>
  <c r="S52" i="102" s="1"/>
  <c r="S53" i="102" s="1"/>
  <c r="S54" i="102" s="1"/>
  <c r="S55" i="102" s="1"/>
  <c r="S56" i="102" s="1"/>
  <c r="S57" i="102" s="1"/>
  <c r="S58" i="102" s="1"/>
  <c r="S59" i="102" s="1"/>
  <c r="S60" i="102" s="1"/>
  <c r="S61" i="102" s="1"/>
  <c r="S62" i="102" s="1"/>
  <c r="S63" i="102" s="1"/>
  <c r="S64" i="102" s="1"/>
  <c r="S65" i="102" s="1"/>
  <c r="S66" i="102" s="1"/>
  <c r="S67" i="102" s="1"/>
  <c r="S68" i="102" s="1"/>
  <c r="S69" i="102" s="1"/>
  <c r="S70" i="102" s="1"/>
  <c r="S71" i="102" s="1"/>
  <c r="S72" i="102" s="1"/>
  <c r="S73" i="102" s="1"/>
  <c r="S74" i="102" s="1"/>
  <c r="S75" i="102" s="1"/>
  <c r="S76" i="102" s="1"/>
  <c r="S77" i="102" s="1"/>
  <c r="S78" i="102" s="1"/>
  <c r="S79" i="102" s="1"/>
  <c r="S80" i="102" s="1"/>
  <c r="S81" i="102" s="1"/>
  <c r="S82" i="102" s="1"/>
  <c r="S83" i="102" s="1"/>
  <c r="S84" i="102" s="1"/>
  <c r="S85" i="102" s="1"/>
  <c r="S86" i="102" s="1"/>
  <c r="S87" i="102" s="1"/>
  <c r="S88" i="102" s="1"/>
  <c r="S89" i="102" s="1"/>
  <c r="S90" i="102" s="1"/>
  <c r="S91" i="102" s="1"/>
  <c r="S92" i="102" s="1"/>
  <c r="K16" i="102"/>
  <c r="N22" i="102"/>
  <c r="N23" i="102" s="1"/>
  <c r="N24" i="102" s="1"/>
  <c r="N25" i="102" s="1"/>
  <c r="N26" i="102" s="1"/>
  <c r="N27" i="102" s="1"/>
  <c r="N28" i="102" s="1"/>
  <c r="N29" i="102" s="1"/>
  <c r="N30" i="102" s="1"/>
  <c r="N31" i="102" s="1"/>
  <c r="N32" i="102" s="1"/>
  <c r="N33" i="102" s="1"/>
  <c r="N34" i="102" s="1"/>
  <c r="N35" i="102" s="1"/>
  <c r="N36" i="102" s="1"/>
  <c r="N37" i="102" s="1"/>
  <c r="N38" i="102" s="1"/>
  <c r="N39" i="102" s="1"/>
  <c r="N40" i="102" s="1"/>
  <c r="N41" i="102" s="1"/>
  <c r="N42" i="102" s="1"/>
  <c r="N43" i="102" s="1"/>
  <c r="N44" i="102" s="1"/>
  <c r="N45" i="102" s="1"/>
  <c r="N46" i="102" s="1"/>
  <c r="N47" i="102" s="1"/>
  <c r="N48" i="102" s="1"/>
  <c r="N49" i="102" s="1"/>
  <c r="N50" i="102" s="1"/>
  <c r="N51" i="102" s="1"/>
  <c r="N52" i="102" s="1"/>
  <c r="N53" i="102" s="1"/>
  <c r="N54" i="102" s="1"/>
  <c r="N55" i="102" s="1"/>
  <c r="N56" i="102" s="1"/>
  <c r="N57" i="102" s="1"/>
  <c r="N58" i="102" s="1"/>
  <c r="N59" i="102" s="1"/>
  <c r="N60" i="102" s="1"/>
  <c r="N61" i="102" s="1"/>
  <c r="N62" i="102" s="1"/>
  <c r="N63" i="102" s="1"/>
  <c r="N64" i="102" s="1"/>
  <c r="N65" i="102" s="1"/>
  <c r="N66" i="102" s="1"/>
  <c r="N67" i="102" s="1"/>
  <c r="N68" i="102" s="1"/>
  <c r="N69" i="102" s="1"/>
  <c r="N70" i="102" s="1"/>
  <c r="N71" i="102" s="1"/>
  <c r="N72" i="102" s="1"/>
  <c r="N73" i="102" s="1"/>
  <c r="N74" i="102" s="1"/>
  <c r="N75" i="102" s="1"/>
  <c r="N76" i="102" s="1"/>
  <c r="N77" i="102" s="1"/>
  <c r="N78" i="102" s="1"/>
  <c r="N79" i="102" s="1"/>
  <c r="N80" i="102" s="1"/>
  <c r="N81" i="102" s="1"/>
  <c r="N82" i="102" s="1"/>
  <c r="N83" i="102" s="1"/>
  <c r="N84" i="102" s="1"/>
  <c r="N85" i="102" s="1"/>
  <c r="N86" i="102" s="1"/>
  <c r="N87" i="102" s="1"/>
  <c r="N88" i="102" s="1"/>
  <c r="N89" i="102" s="1"/>
  <c r="N90" i="102" s="1"/>
  <c r="N91" i="102" s="1"/>
  <c r="N92" i="102" s="1"/>
  <c r="K16" i="104"/>
  <c r="G13" i="99"/>
  <c r="G11" i="99" s="1"/>
  <c r="L14" i="99"/>
  <c r="X13" i="99"/>
  <c r="R14" i="99"/>
  <c r="O19" i="97"/>
  <c r="O20" i="97" s="1"/>
  <c r="N19" i="97"/>
  <c r="N20" i="97" s="1"/>
  <c r="N21" i="97" s="1"/>
  <c r="N22" i="97" s="1"/>
  <c r="N23" i="97" s="1"/>
  <c r="N24" i="97" s="1"/>
  <c r="N25" i="97" s="1"/>
  <c r="N26" i="97" s="1"/>
  <c r="N27" i="97" s="1"/>
  <c r="N28" i="97" s="1"/>
  <c r="N29" i="97" s="1"/>
  <c r="N30" i="97" s="1"/>
  <c r="N31" i="97" s="1"/>
  <c r="N32" i="97" s="1"/>
  <c r="N33" i="97" s="1"/>
  <c r="N34" i="97" s="1"/>
  <c r="N35" i="97" s="1"/>
  <c r="N36" i="97" s="1"/>
  <c r="N37" i="97" s="1"/>
  <c r="N38" i="97" s="1"/>
  <c r="N39" i="97" s="1"/>
  <c r="N40" i="97" s="1"/>
  <c r="N41" i="97" s="1"/>
  <c r="N42" i="97" s="1"/>
  <c r="N43" i="97" s="1"/>
  <c r="N44" i="97" s="1"/>
  <c r="N45" i="97" s="1"/>
  <c r="N46" i="97" s="1"/>
  <c r="N47" i="97" s="1"/>
  <c r="N48" i="97" s="1"/>
  <c r="N49" i="97" s="1"/>
  <c r="N50" i="97" s="1"/>
  <c r="N51" i="97" s="1"/>
  <c r="N52" i="97" s="1"/>
  <c r="N53" i="97" s="1"/>
  <c r="N54" i="97" s="1"/>
  <c r="N55" i="97" s="1"/>
  <c r="N56" i="97" s="1"/>
  <c r="N57" i="97" s="1"/>
  <c r="N58" i="97" s="1"/>
  <c r="N59" i="97" s="1"/>
  <c r="N60" i="97" s="1"/>
  <c r="N61" i="97" s="1"/>
  <c r="N62" i="97" s="1"/>
  <c r="N63" i="97" s="1"/>
  <c r="N64" i="97" s="1"/>
  <c r="N65" i="97" s="1"/>
  <c r="N66" i="97" s="1"/>
  <c r="N67" i="97" s="1"/>
  <c r="N68" i="97" s="1"/>
  <c r="M16" i="102" l="1"/>
  <c r="M14" i="102" s="1"/>
  <c r="O23" i="102"/>
  <c r="O24" i="102" s="1"/>
  <c r="O25" i="102" s="1"/>
  <c r="O26" i="102" s="1"/>
  <c r="O27" i="102" s="1"/>
  <c r="O28" i="102" s="1"/>
  <c r="O29" i="102" s="1"/>
  <c r="O30" i="102" s="1"/>
  <c r="O31" i="102" s="1"/>
  <c r="O32" i="102" s="1"/>
  <c r="O33" i="102" s="1"/>
  <c r="O34" i="102" s="1"/>
  <c r="O35" i="102" s="1"/>
  <c r="O36" i="102" s="1"/>
  <c r="O37" i="102" s="1"/>
  <c r="O38" i="102" s="1"/>
  <c r="O39" i="102" s="1"/>
  <c r="O40" i="102" s="1"/>
  <c r="O41" i="102" s="1"/>
  <c r="O42" i="102" s="1"/>
  <c r="O43" i="102" s="1"/>
  <c r="O44" i="102" s="1"/>
  <c r="O45" i="102" s="1"/>
  <c r="O46" i="102" s="1"/>
  <c r="O47" i="102" s="1"/>
  <c r="O48" i="102" s="1"/>
  <c r="O49" i="102" s="1"/>
  <c r="O50" i="102" s="1"/>
  <c r="O51" i="102" s="1"/>
  <c r="O52" i="102" s="1"/>
  <c r="O53" i="102" s="1"/>
  <c r="O54" i="102" s="1"/>
  <c r="O55" i="102" s="1"/>
  <c r="O56" i="102" s="1"/>
  <c r="O57" i="102" s="1"/>
  <c r="O58" i="102" s="1"/>
  <c r="O59" i="102" s="1"/>
  <c r="O60" i="102" s="1"/>
  <c r="O61" i="102" s="1"/>
  <c r="O62" i="102" s="1"/>
  <c r="O63" i="102" s="1"/>
  <c r="O64" i="102" s="1"/>
  <c r="O65" i="102" s="1"/>
  <c r="O66" i="102" s="1"/>
  <c r="O67" i="102" s="1"/>
  <c r="O68" i="102" s="1"/>
  <c r="O69" i="102" s="1"/>
  <c r="O70" i="102" s="1"/>
  <c r="O71" i="102" s="1"/>
  <c r="O72" i="102" s="1"/>
  <c r="O73" i="102" s="1"/>
  <c r="O74" i="102" s="1"/>
  <c r="O75" i="102" s="1"/>
  <c r="O76" i="102" s="1"/>
  <c r="O77" i="102" s="1"/>
  <c r="O78" i="102" s="1"/>
  <c r="O79" i="102" s="1"/>
  <c r="O80" i="102" s="1"/>
  <c r="O81" i="102" s="1"/>
  <c r="O82" i="102" s="1"/>
  <c r="O83" i="102" s="1"/>
  <c r="O84" i="102" s="1"/>
  <c r="O85" i="102" s="1"/>
  <c r="O86" i="102" s="1"/>
  <c r="O87" i="102" s="1"/>
  <c r="O88" i="102" s="1"/>
  <c r="O89" i="102" s="1"/>
  <c r="O90" i="102" s="1"/>
  <c r="O91" i="102" s="1"/>
  <c r="O92" i="102" s="1"/>
  <c r="S32" i="104"/>
  <c r="S33" i="104" s="1"/>
  <c r="S34" i="104" s="1"/>
  <c r="S35" i="104" s="1"/>
  <c r="S36" i="104" s="1"/>
  <c r="S37" i="104" s="1"/>
  <c r="S38" i="104" s="1"/>
  <c r="S39" i="104" s="1"/>
  <c r="S40" i="104" s="1"/>
  <c r="S41" i="104" s="1"/>
  <c r="S42" i="104" s="1"/>
  <c r="S43" i="104" s="1"/>
  <c r="S44" i="104" s="1"/>
  <c r="S45" i="104" s="1"/>
  <c r="S46" i="104" s="1"/>
  <c r="S47" i="104" s="1"/>
  <c r="S48" i="104" s="1"/>
  <c r="S49" i="104" s="1"/>
  <c r="S50" i="104" s="1"/>
  <c r="S51" i="104" s="1"/>
  <c r="S52" i="104" s="1"/>
  <c r="S53" i="104" s="1"/>
  <c r="S54" i="104" s="1"/>
  <c r="S55" i="104" s="1"/>
  <c r="S56" i="104" s="1"/>
  <c r="S57" i="104" s="1"/>
  <c r="S58" i="104" s="1"/>
  <c r="S59" i="104" s="1"/>
  <c r="S60" i="104" s="1"/>
  <c r="S61" i="104" s="1"/>
  <c r="S62" i="104" s="1"/>
  <c r="S63" i="104" s="1"/>
  <c r="S64" i="104" s="1"/>
  <c r="S65" i="104" s="1"/>
  <c r="S66" i="104" s="1"/>
  <c r="S67" i="104" s="1"/>
  <c r="S68" i="104" s="1"/>
  <c r="S69" i="104" s="1"/>
  <c r="S70" i="104" s="1"/>
  <c r="S71" i="104" s="1"/>
  <c r="S72" i="104" s="1"/>
  <c r="S73" i="104" s="1"/>
  <c r="S74" i="104" s="1"/>
  <c r="S75" i="104" s="1"/>
  <c r="S76" i="104" s="1"/>
  <c r="S77" i="104" s="1"/>
  <c r="S78" i="104" s="1"/>
  <c r="S79" i="104" s="1"/>
  <c r="S80" i="104" s="1"/>
  <c r="S81" i="104" s="1"/>
  <c r="S82" i="104" s="1"/>
  <c r="S83" i="104" s="1"/>
  <c r="S84" i="104" s="1"/>
  <c r="S85" i="104" s="1"/>
  <c r="S86" i="104" s="1"/>
  <c r="S87" i="104" s="1"/>
  <c r="S88" i="104" s="1"/>
  <c r="S89" i="104" s="1"/>
  <c r="S90" i="104" s="1"/>
  <c r="S91" i="104" s="1"/>
  <c r="S92" i="104" s="1"/>
  <c r="S93" i="104" s="1"/>
  <c r="S94" i="104" s="1"/>
  <c r="S95" i="104" s="1"/>
  <c r="S96" i="104" s="1"/>
  <c r="S97" i="104" s="1"/>
  <c r="S98" i="104" s="1"/>
  <c r="M16" i="104"/>
  <c r="D194" i="2"/>
  <c r="K13" i="97"/>
  <c r="J13" i="97"/>
  <c r="E13" i="97"/>
  <c r="G12" i="97" s="1"/>
  <c r="D13" i="97"/>
  <c r="L12" i="97"/>
  <c r="F12" i="97"/>
  <c r="L11" i="97"/>
  <c r="F11" i="97"/>
  <c r="L10" i="97"/>
  <c r="F10" i="97"/>
  <c r="L9" i="97"/>
  <c r="F9" i="97"/>
  <c r="L8" i="97"/>
  <c r="F8" i="97"/>
  <c r="L7" i="97"/>
  <c r="F7" i="97"/>
  <c r="L6" i="97"/>
  <c r="F6" i="97"/>
  <c r="L5" i="97"/>
  <c r="F5" i="97"/>
  <c r="O8" i="94"/>
  <c r="O9" i="94" s="1"/>
  <c r="L10" i="94"/>
  <c r="M14" i="104" l="1"/>
  <c r="L25" i="99"/>
  <c r="L19" i="99"/>
  <c r="L27" i="99"/>
  <c r="K27" i="99" s="1"/>
  <c r="L26" i="99"/>
  <c r="M26" i="99" s="1"/>
  <c r="L24" i="99"/>
  <c r="M24" i="99" s="1"/>
  <c r="L23" i="99"/>
  <c r="M23" i="99" s="1"/>
  <c r="L22" i="99"/>
  <c r="M22" i="99" s="1"/>
  <c r="L20" i="97"/>
  <c r="L91" i="97"/>
  <c r="M91" i="97" s="1"/>
  <c r="L79" i="97"/>
  <c r="M79" i="97" s="1"/>
  <c r="L90" i="97"/>
  <c r="M90" i="97" s="1"/>
  <c r="L78" i="97"/>
  <c r="M78" i="97" s="1"/>
  <c r="L93" i="97"/>
  <c r="M93" i="97" s="1"/>
  <c r="L89" i="97"/>
  <c r="M89" i="97" s="1"/>
  <c r="L77" i="97"/>
  <c r="M77" i="97" s="1"/>
  <c r="L88" i="97"/>
  <c r="M88" i="97" s="1"/>
  <c r="L76" i="97"/>
  <c r="M76" i="97" s="1"/>
  <c r="L80" i="97"/>
  <c r="M80" i="97" s="1"/>
  <c r="L87" i="97"/>
  <c r="M87" i="97" s="1"/>
  <c r="L75" i="97"/>
  <c r="M75" i="97" s="1"/>
  <c r="L86" i="97"/>
  <c r="M86" i="97" s="1"/>
  <c r="L74" i="97"/>
  <c r="M74" i="97" s="1"/>
  <c r="L97" i="97"/>
  <c r="M97" i="97" s="1"/>
  <c r="L85" i="97"/>
  <c r="M85" i="97" s="1"/>
  <c r="L73" i="97"/>
  <c r="M73" i="97" s="1"/>
  <c r="L96" i="97"/>
  <c r="M96" i="97" s="1"/>
  <c r="L84" i="97"/>
  <c r="M84" i="97" s="1"/>
  <c r="L72" i="97"/>
  <c r="L95" i="97"/>
  <c r="M95" i="97" s="1"/>
  <c r="L83" i="97"/>
  <c r="M83" i="97" s="1"/>
  <c r="L71" i="97"/>
  <c r="M71" i="97" s="1"/>
  <c r="L92" i="97"/>
  <c r="M92" i="97" s="1"/>
  <c r="L94" i="97"/>
  <c r="M94" i="97" s="1"/>
  <c r="L82" i="97"/>
  <c r="M82" i="97" s="1"/>
  <c r="L70" i="97"/>
  <c r="L81" i="97"/>
  <c r="M81" i="97" s="1"/>
  <c r="M12" i="97"/>
  <c r="M11" i="97"/>
  <c r="F14" i="97"/>
  <c r="M5" i="97"/>
  <c r="L13" i="97"/>
  <c r="P14" i="97"/>
  <c r="M9" i="97"/>
  <c r="M7" i="97"/>
  <c r="M8" i="97"/>
  <c r="F13" i="97"/>
  <c r="X13" i="97" s="1"/>
  <c r="M10" i="97"/>
  <c r="M6" i="97"/>
  <c r="Q14" i="97"/>
  <c r="L11" i="94"/>
  <c r="K28" i="99" l="1"/>
  <c r="M28" i="99" s="1"/>
  <c r="S28" i="99" s="1"/>
  <c r="S29" i="99" s="1"/>
  <c r="S30" i="99" s="1"/>
  <c r="S31" i="99" s="1"/>
  <c r="S32" i="99" s="1"/>
  <c r="S33" i="99" s="1"/>
  <c r="S34" i="99" s="1"/>
  <c r="S35" i="99" s="1"/>
  <c r="S36" i="99" s="1"/>
  <c r="S37" i="99" s="1"/>
  <c r="S38" i="99" s="1"/>
  <c r="S39" i="99" s="1"/>
  <c r="S40" i="99" s="1"/>
  <c r="S41" i="99" s="1"/>
  <c r="S42" i="99" s="1"/>
  <c r="S43" i="99" s="1"/>
  <c r="S44" i="99" s="1"/>
  <c r="S45" i="99" s="1"/>
  <c r="S46" i="99" s="1"/>
  <c r="S47" i="99" s="1"/>
  <c r="S48" i="99" s="1"/>
  <c r="S49" i="99" s="1"/>
  <c r="S50" i="99" s="1"/>
  <c r="S51" i="99" s="1"/>
  <c r="S52" i="99" s="1"/>
  <c r="S53" i="99" s="1"/>
  <c r="S54" i="99" s="1"/>
  <c r="S55" i="99" s="1"/>
  <c r="S56" i="99" s="1"/>
  <c r="S57" i="99" s="1"/>
  <c r="S58" i="99" s="1"/>
  <c r="S59" i="99" s="1"/>
  <c r="S60" i="99" s="1"/>
  <c r="S61" i="99" s="1"/>
  <c r="S62" i="99" s="1"/>
  <c r="S63" i="99" s="1"/>
  <c r="S64" i="99" s="1"/>
  <c r="S65" i="99" s="1"/>
  <c r="S66" i="99" s="1"/>
  <c r="S67" i="99" s="1"/>
  <c r="S68" i="99" s="1"/>
  <c r="S69" i="99" s="1"/>
  <c r="S70" i="99" s="1"/>
  <c r="S71" i="99" s="1"/>
  <c r="S72" i="99" s="1"/>
  <c r="S73" i="99" s="1"/>
  <c r="S74" i="99" s="1"/>
  <c r="S75" i="99" s="1"/>
  <c r="S76" i="99" s="1"/>
  <c r="S77" i="99" s="1"/>
  <c r="S78" i="99" s="1"/>
  <c r="S79" i="99" s="1"/>
  <c r="S80" i="99" s="1"/>
  <c r="S81" i="99" s="1"/>
  <c r="S82" i="99" s="1"/>
  <c r="S83" i="99" s="1"/>
  <c r="S84" i="99" s="1"/>
  <c r="S85" i="99" s="1"/>
  <c r="S86" i="99" s="1"/>
  <c r="S87" i="99" s="1"/>
  <c r="S88" i="99" s="1"/>
  <c r="S89" i="99" s="1"/>
  <c r="S90" i="99" s="1"/>
  <c r="S91" i="99" s="1"/>
  <c r="S92" i="99" s="1"/>
  <c r="S93" i="99" s="1"/>
  <c r="N27" i="99"/>
  <c r="R14" i="97"/>
  <c r="G13" i="97"/>
  <c r="G11" i="97" s="1"/>
  <c r="M13" i="97"/>
  <c r="O19" i="94"/>
  <c r="O20" i="94" s="1"/>
  <c r="N19" i="94"/>
  <c r="N20" i="94" s="1"/>
  <c r="N21" i="94" s="1"/>
  <c r="N22" i="94" s="1"/>
  <c r="N23" i="94" s="1"/>
  <c r="N24" i="94" s="1"/>
  <c r="N25" i="94" s="1"/>
  <c r="N26" i="94" s="1"/>
  <c r="N27" i="94" s="1"/>
  <c r="N28" i="94" s="1"/>
  <c r="N29" i="94" s="1"/>
  <c r="N30" i="94" s="1"/>
  <c r="N31" i="94" s="1"/>
  <c r="N32" i="94" s="1"/>
  <c r="N33" i="94" s="1"/>
  <c r="N34" i="94" s="1"/>
  <c r="N35" i="94" s="1"/>
  <c r="N36" i="94" s="1"/>
  <c r="N37" i="94" s="1"/>
  <c r="N38" i="94" s="1"/>
  <c r="N39" i="94" s="1"/>
  <c r="N40" i="94" s="1"/>
  <c r="N41" i="94" s="1"/>
  <c r="N42" i="94" s="1"/>
  <c r="N43" i="94" s="1"/>
  <c r="N44" i="94" s="1"/>
  <c r="N45" i="94" s="1"/>
  <c r="N46" i="94" s="1"/>
  <c r="N47" i="94" s="1"/>
  <c r="N48" i="94" s="1"/>
  <c r="N49" i="94" s="1"/>
  <c r="N50" i="94" s="1"/>
  <c r="N51" i="94" s="1"/>
  <c r="N52" i="94" s="1"/>
  <c r="N53" i="94" s="1"/>
  <c r="N54" i="94" s="1"/>
  <c r="N55" i="94" s="1"/>
  <c r="N56" i="94" s="1"/>
  <c r="N57" i="94" s="1"/>
  <c r="N58" i="94" s="1"/>
  <c r="N59" i="94" s="1"/>
  <c r="N60" i="94" s="1"/>
  <c r="N61" i="94" s="1"/>
  <c r="N62" i="94" s="1"/>
  <c r="N63" i="94" s="1"/>
  <c r="N64" i="94" s="1"/>
  <c r="N65" i="94" s="1"/>
  <c r="N66" i="94" s="1"/>
  <c r="N67" i="94" s="1"/>
  <c r="D188" i="2"/>
  <c r="N28" i="99" l="1"/>
  <c r="N29" i="99" s="1"/>
  <c r="N30" i="99" s="1"/>
  <c r="N31" i="99" s="1"/>
  <c r="N32" i="99" s="1"/>
  <c r="N33" i="99" s="1"/>
  <c r="N34" i="99" s="1"/>
  <c r="N35" i="99" s="1"/>
  <c r="N36" i="99" s="1"/>
  <c r="N37" i="99" s="1"/>
  <c r="N38" i="99" s="1"/>
  <c r="N39" i="99" s="1"/>
  <c r="N40" i="99" s="1"/>
  <c r="N41" i="99" s="1"/>
  <c r="N42" i="99" s="1"/>
  <c r="N43" i="99" s="1"/>
  <c r="N44" i="99" s="1"/>
  <c r="N45" i="99" s="1"/>
  <c r="N46" i="99" s="1"/>
  <c r="N47" i="99" s="1"/>
  <c r="N48" i="99" s="1"/>
  <c r="N49" i="99" s="1"/>
  <c r="N50" i="99" s="1"/>
  <c r="N51" i="99" s="1"/>
  <c r="N52" i="99" s="1"/>
  <c r="N53" i="99" s="1"/>
  <c r="N54" i="99" s="1"/>
  <c r="N55" i="99" s="1"/>
  <c r="N56" i="99" s="1"/>
  <c r="N57" i="99" s="1"/>
  <c r="N58" i="99" s="1"/>
  <c r="N59" i="99" s="1"/>
  <c r="N60" i="99" s="1"/>
  <c r="N61" i="99" s="1"/>
  <c r="N62" i="99" s="1"/>
  <c r="N63" i="99" s="1"/>
  <c r="N64" i="99" s="1"/>
  <c r="N65" i="99" s="1"/>
  <c r="N66" i="99" s="1"/>
  <c r="N67" i="99" s="1"/>
  <c r="N68" i="99" s="1"/>
  <c r="N69" i="99" s="1"/>
  <c r="N70" i="99" s="1"/>
  <c r="N71" i="99" s="1"/>
  <c r="N72" i="99" s="1"/>
  <c r="N73" i="99" s="1"/>
  <c r="N74" i="99" s="1"/>
  <c r="N75" i="99" s="1"/>
  <c r="N76" i="99" s="1"/>
  <c r="N77" i="99" s="1"/>
  <c r="N78" i="99" s="1"/>
  <c r="N79" i="99" s="1"/>
  <c r="N80" i="99" s="1"/>
  <c r="N81" i="99" s="1"/>
  <c r="N82" i="99" s="1"/>
  <c r="N83" i="99" s="1"/>
  <c r="N84" i="99" s="1"/>
  <c r="N85" i="99" s="1"/>
  <c r="N86" i="99" s="1"/>
  <c r="N87" i="99" s="1"/>
  <c r="N88" i="99" s="1"/>
  <c r="N89" i="99" s="1"/>
  <c r="N90" i="99" s="1"/>
  <c r="N91" i="99" s="1"/>
  <c r="N92" i="99" s="1"/>
  <c r="N93" i="99" s="1"/>
  <c r="M19" i="99"/>
  <c r="L69" i="97"/>
  <c r="L57" i="97"/>
  <c r="M57" i="97" s="1"/>
  <c r="L22" i="97"/>
  <c r="M22" i="97" s="1"/>
  <c r="L39" i="97"/>
  <c r="M39" i="97" s="1"/>
  <c r="L27" i="97"/>
  <c r="M27" i="97" s="1"/>
  <c r="L36" i="97"/>
  <c r="M36" i="97" s="1"/>
  <c r="L52" i="97"/>
  <c r="M52" i="97" s="1"/>
  <c r="L62" i="97"/>
  <c r="M62" i="97" s="1"/>
  <c r="L42" i="97"/>
  <c r="M42" i="97" s="1"/>
  <c r="L23" i="97"/>
  <c r="M23" i="97" s="1"/>
  <c r="L68" i="97"/>
  <c r="M68" i="97" s="1"/>
  <c r="L56" i="97"/>
  <c r="M56" i="97" s="1"/>
  <c r="L21" i="97"/>
  <c r="M21" i="97" s="1"/>
  <c r="L38" i="97"/>
  <c r="M38" i="97" s="1"/>
  <c r="L26" i="97"/>
  <c r="M26" i="97" s="1"/>
  <c r="L53" i="97"/>
  <c r="M53" i="97" s="1"/>
  <c r="L46" i="97"/>
  <c r="M46" i="97" s="1"/>
  <c r="L50" i="97"/>
  <c r="M50" i="97" s="1"/>
  <c r="L60" i="97"/>
  <c r="M60" i="97" s="1"/>
  <c r="L58" i="97"/>
  <c r="M58" i="97" s="1"/>
  <c r="L28" i="97"/>
  <c r="M28" i="97" s="1"/>
  <c r="L67" i="97"/>
  <c r="M67" i="97" s="1"/>
  <c r="L55" i="97"/>
  <c r="M55" i="97" s="1"/>
  <c r="L49" i="97"/>
  <c r="M49" i="97" s="1"/>
  <c r="L37" i="97"/>
  <c r="M37" i="97" s="1"/>
  <c r="L54" i="97"/>
  <c r="M54" i="97" s="1"/>
  <c r="L35" i="97"/>
  <c r="M35" i="97" s="1"/>
  <c r="L34" i="97"/>
  <c r="M34" i="97" s="1"/>
  <c r="L45" i="97"/>
  <c r="M45" i="97" s="1"/>
  <c r="I25" i="97"/>
  <c r="J25" i="97" s="1"/>
  <c r="L24" i="97"/>
  <c r="M24" i="97" s="1"/>
  <c r="L66" i="97"/>
  <c r="M66" i="97" s="1"/>
  <c r="L48" i="97"/>
  <c r="M48" i="97" s="1"/>
  <c r="L63" i="97"/>
  <c r="M63" i="97" s="1"/>
  <c r="L61" i="97"/>
  <c r="M61" i="97" s="1"/>
  <c r="L59" i="97"/>
  <c r="M59" i="97" s="1"/>
  <c r="L65" i="97"/>
  <c r="M65" i="97" s="1"/>
  <c r="L47" i="97"/>
  <c r="M47" i="97" s="1"/>
  <c r="L51" i="97"/>
  <c r="M51" i="97" s="1"/>
  <c r="L44" i="97"/>
  <c r="M44" i="97" s="1"/>
  <c r="L31" i="97"/>
  <c r="M31" i="97" s="1"/>
  <c r="L41" i="97"/>
  <c r="M41" i="97" s="1"/>
  <c r="L64" i="97"/>
  <c r="M64" i="97" s="1"/>
  <c r="L33" i="97"/>
  <c r="M33" i="97" s="1"/>
  <c r="L32" i="97"/>
  <c r="M32" i="97" s="1"/>
  <c r="L43" i="97"/>
  <c r="M43" i="97" s="1"/>
  <c r="L29" i="97"/>
  <c r="M29" i="97" s="1"/>
  <c r="L25" i="97"/>
  <c r="M25" i="97" s="1"/>
  <c r="L30" i="97"/>
  <c r="M30" i="97" s="1"/>
  <c r="L40" i="97"/>
  <c r="M40" i="97" s="1"/>
  <c r="L90" i="94"/>
  <c r="M90" i="94" s="1"/>
  <c r="L78" i="94"/>
  <c r="M78" i="94" s="1"/>
  <c r="L89" i="94"/>
  <c r="M89" i="94" s="1"/>
  <c r="L77" i="94"/>
  <c r="M77" i="94" s="1"/>
  <c r="L86" i="94"/>
  <c r="M86" i="94" s="1"/>
  <c r="L73" i="94"/>
  <c r="M73" i="94" s="1"/>
  <c r="L88" i="94"/>
  <c r="L76" i="94"/>
  <c r="M76" i="94" s="1"/>
  <c r="L87" i="94"/>
  <c r="M87" i="94" s="1"/>
  <c r="L75" i="94"/>
  <c r="M75" i="94" s="1"/>
  <c r="L74" i="94"/>
  <c r="M74" i="94" s="1"/>
  <c r="L85" i="94"/>
  <c r="M85" i="94" s="1"/>
  <c r="L84" i="94"/>
  <c r="M84" i="94" s="1"/>
  <c r="L72" i="94"/>
  <c r="M72" i="94" s="1"/>
  <c r="L83" i="94"/>
  <c r="L71" i="94"/>
  <c r="M71" i="94" s="1"/>
  <c r="L92" i="94"/>
  <c r="M92" i="94" s="1"/>
  <c r="L91" i="94"/>
  <c r="M91" i="94" s="1"/>
  <c r="L79" i="94"/>
  <c r="L82" i="94"/>
  <c r="M82" i="94" s="1"/>
  <c r="L70" i="94"/>
  <c r="M70" i="94" s="1"/>
  <c r="L81" i="94"/>
  <c r="M81" i="94" s="1"/>
  <c r="L80" i="94"/>
  <c r="M80" i="94" s="1"/>
  <c r="L69" i="94"/>
  <c r="O19" i="99" l="1"/>
  <c r="O20" i="99" s="1"/>
  <c r="O21" i="99" s="1"/>
  <c r="O22" i="99" s="1"/>
  <c r="O23" i="99" s="1"/>
  <c r="O24" i="99" s="1"/>
  <c r="O25" i="99" s="1"/>
  <c r="O26" i="99" s="1"/>
  <c r="O27" i="99" s="1"/>
  <c r="O28" i="99" s="1"/>
  <c r="O29" i="99" s="1"/>
  <c r="O30" i="99" s="1"/>
  <c r="O31" i="99" s="1"/>
  <c r="O32" i="99" s="1"/>
  <c r="O33" i="99" s="1"/>
  <c r="O34" i="99" s="1"/>
  <c r="O35" i="99" s="1"/>
  <c r="O36" i="99" s="1"/>
  <c r="O37" i="99" s="1"/>
  <c r="O38" i="99" s="1"/>
  <c r="O39" i="99" s="1"/>
  <c r="O40" i="99" s="1"/>
  <c r="O41" i="99" s="1"/>
  <c r="O42" i="99" s="1"/>
  <c r="O43" i="99" s="1"/>
  <c r="O44" i="99" s="1"/>
  <c r="O45" i="99" s="1"/>
  <c r="O46" i="99" s="1"/>
  <c r="O47" i="99" s="1"/>
  <c r="O48" i="99" s="1"/>
  <c r="O49" i="99" s="1"/>
  <c r="O50" i="99" s="1"/>
  <c r="O51" i="99" s="1"/>
  <c r="O52" i="99" s="1"/>
  <c r="O53" i="99" s="1"/>
  <c r="O54" i="99" s="1"/>
  <c r="O55" i="99" s="1"/>
  <c r="O56" i="99" s="1"/>
  <c r="O57" i="99" s="1"/>
  <c r="O58" i="99" s="1"/>
  <c r="O59" i="99" s="1"/>
  <c r="O60" i="99" s="1"/>
  <c r="O61" i="99" s="1"/>
  <c r="O62" i="99" s="1"/>
  <c r="O63" i="99" s="1"/>
  <c r="O64" i="99" s="1"/>
  <c r="O65" i="99" s="1"/>
  <c r="O66" i="99" s="1"/>
  <c r="O67" i="99" s="1"/>
  <c r="O68" i="99" s="1"/>
  <c r="O69" i="99" s="1"/>
  <c r="O70" i="99" s="1"/>
  <c r="O71" i="99" s="1"/>
  <c r="O72" i="99" s="1"/>
  <c r="O73" i="99" s="1"/>
  <c r="O74" i="99" s="1"/>
  <c r="O75" i="99" s="1"/>
  <c r="O76" i="99" s="1"/>
  <c r="O77" i="99" s="1"/>
  <c r="O78" i="99" s="1"/>
  <c r="O79" i="99" s="1"/>
  <c r="O80" i="99" s="1"/>
  <c r="O81" i="99" s="1"/>
  <c r="O82" i="99" s="1"/>
  <c r="O83" i="99" s="1"/>
  <c r="O84" i="99" s="1"/>
  <c r="O85" i="99" s="1"/>
  <c r="O86" i="99" s="1"/>
  <c r="O87" i="99" s="1"/>
  <c r="O88" i="99" s="1"/>
  <c r="O89" i="99" s="1"/>
  <c r="O90" i="99" s="1"/>
  <c r="O91" i="99" s="1"/>
  <c r="O92" i="99" s="1"/>
  <c r="O93" i="99" s="1"/>
  <c r="K15" i="99"/>
  <c r="S19" i="99"/>
  <c r="S22" i="99" s="1"/>
  <c r="S23" i="99" s="1"/>
  <c r="S24" i="99" s="1"/>
  <c r="S25" i="99" s="1"/>
  <c r="S26" i="99" s="1"/>
  <c r="S27" i="99" s="1"/>
  <c r="M15" i="99"/>
  <c r="M14" i="99" s="1"/>
  <c r="O21" i="97"/>
  <c r="O22" i="97" s="1"/>
  <c r="O23" i="97" s="1"/>
  <c r="O24" i="97" s="1"/>
  <c r="S21" i="97"/>
  <c r="S22" i="97" s="1"/>
  <c r="S23" i="97" s="1"/>
  <c r="S24" i="97" s="1"/>
  <c r="L12" i="94"/>
  <c r="F12" i="94"/>
  <c r="F11" i="94"/>
  <c r="L9" i="94"/>
  <c r="L8" i="94"/>
  <c r="L7" i="94"/>
  <c r="F7" i="94"/>
  <c r="L6" i="94"/>
  <c r="L5" i="94"/>
  <c r="M13" i="92"/>
  <c r="M12" i="92"/>
  <c r="M11" i="92"/>
  <c r="M10" i="92"/>
  <c r="M9" i="92"/>
  <c r="M8" i="92"/>
  <c r="M7" i="92"/>
  <c r="M6" i="92"/>
  <c r="M5" i="92"/>
  <c r="N6" i="92"/>
  <c r="S25" i="97" l="1"/>
  <c r="S26" i="97" s="1"/>
  <c r="S27" i="97" s="1"/>
  <c r="S28" i="97" s="1"/>
  <c r="S29" i="97" s="1"/>
  <c r="S30" i="97" s="1"/>
  <c r="S31" i="97" s="1"/>
  <c r="S32" i="97" s="1"/>
  <c r="S33" i="97" s="1"/>
  <c r="S34" i="97" s="1"/>
  <c r="S35" i="97" s="1"/>
  <c r="S36" i="97" s="1"/>
  <c r="S37" i="97" s="1"/>
  <c r="S38" i="97" s="1"/>
  <c r="S39" i="97" s="1"/>
  <c r="S40" i="97" s="1"/>
  <c r="S41" i="97" s="1"/>
  <c r="S42" i="97" s="1"/>
  <c r="S43" i="97" s="1"/>
  <c r="S44" i="97" s="1"/>
  <c r="S45" i="97" s="1"/>
  <c r="S46" i="97" s="1"/>
  <c r="S47" i="97" s="1"/>
  <c r="S48" i="97" s="1"/>
  <c r="S49" i="97" s="1"/>
  <c r="S50" i="97" s="1"/>
  <c r="S51" i="97" s="1"/>
  <c r="S52" i="97" s="1"/>
  <c r="S53" i="97" s="1"/>
  <c r="S54" i="97" s="1"/>
  <c r="S55" i="97" s="1"/>
  <c r="S56" i="97" s="1"/>
  <c r="S57" i="97" s="1"/>
  <c r="S58" i="97" s="1"/>
  <c r="S59" i="97" s="1"/>
  <c r="S60" i="97" s="1"/>
  <c r="S61" i="97" s="1"/>
  <c r="S62" i="97" s="1"/>
  <c r="S63" i="97" s="1"/>
  <c r="S64" i="97" s="1"/>
  <c r="S65" i="97" s="1"/>
  <c r="S66" i="97" s="1"/>
  <c r="S67" i="97" s="1"/>
  <c r="S68" i="97" s="1"/>
  <c r="O25" i="97"/>
  <c r="O26" i="97" s="1"/>
  <c r="O27" i="97" s="1"/>
  <c r="O28" i="97" s="1"/>
  <c r="O29" i="97" s="1"/>
  <c r="O30" i="97" s="1"/>
  <c r="O31" i="97" s="1"/>
  <c r="O32" i="97" s="1"/>
  <c r="O33" i="97" s="1"/>
  <c r="O34" i="97" s="1"/>
  <c r="O35" i="97" s="1"/>
  <c r="O36" i="97" s="1"/>
  <c r="O37" i="97" s="1"/>
  <c r="O38" i="97" s="1"/>
  <c r="O39" i="97" s="1"/>
  <c r="O40" i="97" s="1"/>
  <c r="O41" i="97" s="1"/>
  <c r="O42" i="97" s="1"/>
  <c r="O43" i="97" s="1"/>
  <c r="O44" i="97" s="1"/>
  <c r="O45" i="97" s="1"/>
  <c r="O46" i="97" s="1"/>
  <c r="O47" i="97" s="1"/>
  <c r="O48" i="97" s="1"/>
  <c r="O49" i="97" s="1"/>
  <c r="O50" i="97" s="1"/>
  <c r="O51" i="97" s="1"/>
  <c r="O52" i="97" s="1"/>
  <c r="O53" i="97" s="1"/>
  <c r="O54" i="97" s="1"/>
  <c r="O55" i="97" s="1"/>
  <c r="O56" i="97" s="1"/>
  <c r="O57" i="97" s="1"/>
  <c r="O58" i="97" s="1"/>
  <c r="O59" i="97" s="1"/>
  <c r="O60" i="97" s="1"/>
  <c r="O61" i="97" s="1"/>
  <c r="O62" i="97" s="1"/>
  <c r="O63" i="97" s="1"/>
  <c r="O64" i="97" s="1"/>
  <c r="O65" i="97" s="1"/>
  <c r="O66" i="97" s="1"/>
  <c r="O67" i="97" s="1"/>
  <c r="O68" i="97" s="1"/>
  <c r="O69" i="97" s="1"/>
  <c r="M12" i="94"/>
  <c r="M7" i="94"/>
  <c r="M11" i="94"/>
  <c r="D167" i="2"/>
  <c r="L28" i="92" s="1"/>
  <c r="M28" i="92" s="1"/>
  <c r="L29" i="92" l="1"/>
  <c r="M29" i="92" s="1"/>
  <c r="L22" i="92"/>
  <c r="M22" i="92" s="1"/>
  <c r="L23" i="92"/>
  <c r="M23" i="92" s="1"/>
  <c r="L31" i="92"/>
  <c r="M31" i="92" s="1"/>
  <c r="L24" i="92"/>
  <c r="M24" i="92" s="1"/>
  <c r="L19" i="92"/>
  <c r="L25" i="92"/>
  <c r="M25" i="92" s="1"/>
  <c r="L30" i="92"/>
  <c r="M30" i="92" s="1"/>
  <c r="L26" i="92"/>
  <c r="M26" i="92" s="1"/>
  <c r="L27" i="92"/>
  <c r="M27" i="92" s="1"/>
  <c r="N19" i="92" l="1"/>
  <c r="N20" i="92" s="1"/>
  <c r="N21" i="92" s="1"/>
  <c r="N22" i="92" s="1"/>
  <c r="N23" i="92" s="1"/>
  <c r="K113" i="89" l="1"/>
  <c r="D14" i="92" l="1"/>
  <c r="D92" i="2"/>
  <c r="D166" i="2"/>
  <c r="I112" i="89" s="1"/>
  <c r="K112" i="89" s="1"/>
  <c r="L112" i="89" s="1"/>
  <c r="F9" i="92"/>
  <c r="F8" i="92"/>
  <c r="F7" i="92"/>
  <c r="F6" i="92"/>
  <c r="L9" i="92"/>
  <c r="L8" i="92"/>
  <c r="L7" i="92"/>
  <c r="L6" i="92"/>
  <c r="D180" i="2" l="1"/>
  <c r="L65" i="94" l="1"/>
  <c r="M65" i="94" s="1"/>
  <c r="L53" i="94"/>
  <c r="M53" i="94" s="1"/>
  <c r="L41" i="94"/>
  <c r="L29" i="94"/>
  <c r="M29" i="94" s="1"/>
  <c r="L64" i="94"/>
  <c r="L52" i="94"/>
  <c r="M52" i="94" s="1"/>
  <c r="L40" i="94"/>
  <c r="M40" i="94" s="1"/>
  <c r="L28" i="94"/>
  <c r="M28" i="94" s="1"/>
  <c r="L61" i="94"/>
  <c r="M61" i="94" s="1"/>
  <c r="L37" i="94"/>
  <c r="M37" i="94" s="1"/>
  <c r="L24" i="94"/>
  <c r="M24" i="94" s="1"/>
  <c r="L63" i="94"/>
  <c r="M63" i="94" s="1"/>
  <c r="L51" i="94"/>
  <c r="M51" i="94" s="1"/>
  <c r="L39" i="94"/>
  <c r="M39" i="94" s="1"/>
  <c r="L27" i="94"/>
  <c r="L62" i="94"/>
  <c r="M62" i="94" s="1"/>
  <c r="L50" i="94"/>
  <c r="M50" i="94" s="1"/>
  <c r="L38" i="94"/>
  <c r="M38" i="94" s="1"/>
  <c r="L26" i="94"/>
  <c r="M26" i="94" s="1"/>
  <c r="L49" i="94"/>
  <c r="M49" i="94" s="1"/>
  <c r="L25" i="94"/>
  <c r="M25" i="94" s="1"/>
  <c r="L59" i="94"/>
  <c r="M59" i="94" s="1"/>
  <c r="L47" i="94"/>
  <c r="M47" i="94" s="1"/>
  <c r="L35" i="94"/>
  <c r="M35" i="94" s="1"/>
  <c r="L23" i="94"/>
  <c r="M23" i="94" s="1"/>
  <c r="L56" i="94"/>
  <c r="M56" i="94" s="1"/>
  <c r="L66" i="94"/>
  <c r="L30" i="94"/>
  <c r="M30" i="94" s="1"/>
  <c r="L36" i="94"/>
  <c r="M36" i="94" s="1"/>
  <c r="L58" i="94"/>
  <c r="M58" i="94" s="1"/>
  <c r="L46" i="94"/>
  <c r="M46" i="94" s="1"/>
  <c r="L34" i="94"/>
  <c r="M34" i="94" s="1"/>
  <c r="L22" i="94"/>
  <c r="M22" i="94" s="1"/>
  <c r="L68" i="94"/>
  <c r="K68" i="94" s="1"/>
  <c r="L44" i="94"/>
  <c r="M44" i="94" s="1"/>
  <c r="L67" i="94"/>
  <c r="M67" i="94" s="1"/>
  <c r="L55" i="94"/>
  <c r="M55" i="94" s="1"/>
  <c r="L31" i="94"/>
  <c r="M31" i="94" s="1"/>
  <c r="L54" i="94"/>
  <c r="L42" i="94"/>
  <c r="M42" i="94" s="1"/>
  <c r="L60" i="94"/>
  <c r="M60" i="94" s="1"/>
  <c r="L57" i="94"/>
  <c r="M57" i="94" s="1"/>
  <c r="L45" i="94"/>
  <c r="M45" i="94" s="1"/>
  <c r="L33" i="94"/>
  <c r="M33" i="94" s="1"/>
  <c r="L32" i="94"/>
  <c r="M32" i="94" s="1"/>
  <c r="L43" i="94"/>
  <c r="M43" i="94" s="1"/>
  <c r="L48" i="94"/>
  <c r="M48" i="94" s="1"/>
  <c r="M64" i="94"/>
  <c r="M27" i="94"/>
  <c r="L21" i="94"/>
  <c r="M21" i="94" s="1"/>
  <c r="M66" i="94"/>
  <c r="M54" i="94"/>
  <c r="M41" i="94"/>
  <c r="L98" i="92"/>
  <c r="M98" i="92" s="1"/>
  <c r="L86" i="92"/>
  <c r="M86" i="92" s="1"/>
  <c r="L74" i="92"/>
  <c r="M74" i="92" s="1"/>
  <c r="L62" i="92"/>
  <c r="M62" i="92" s="1"/>
  <c r="L50" i="92"/>
  <c r="M50" i="92" s="1"/>
  <c r="L38" i="92"/>
  <c r="M38" i="92" s="1"/>
  <c r="L52" i="92"/>
  <c r="M52" i="92" s="1"/>
  <c r="L97" i="92"/>
  <c r="M97" i="92" s="1"/>
  <c r="L85" i="92"/>
  <c r="M85" i="92" s="1"/>
  <c r="L73" i="92"/>
  <c r="M73" i="92" s="1"/>
  <c r="L61" i="92"/>
  <c r="M61" i="92" s="1"/>
  <c r="L49" i="92"/>
  <c r="M49" i="92" s="1"/>
  <c r="L37" i="92"/>
  <c r="M37" i="92" s="1"/>
  <c r="L76" i="92"/>
  <c r="M76" i="92" s="1"/>
  <c r="L96" i="92"/>
  <c r="M96" i="92" s="1"/>
  <c r="L84" i="92"/>
  <c r="M84" i="92" s="1"/>
  <c r="L72" i="92"/>
  <c r="M72" i="92" s="1"/>
  <c r="L60" i="92"/>
  <c r="M60" i="92" s="1"/>
  <c r="L48" i="92"/>
  <c r="M48" i="92" s="1"/>
  <c r="L36" i="92"/>
  <c r="M36" i="92" s="1"/>
  <c r="L45" i="92"/>
  <c r="M45" i="92" s="1"/>
  <c r="L95" i="92"/>
  <c r="M95" i="92" s="1"/>
  <c r="L83" i="92"/>
  <c r="M83" i="92" s="1"/>
  <c r="L71" i="92"/>
  <c r="M71" i="92" s="1"/>
  <c r="L59" i="92"/>
  <c r="M59" i="92" s="1"/>
  <c r="L47" i="92"/>
  <c r="M47" i="92" s="1"/>
  <c r="L35" i="92"/>
  <c r="M35" i="92" s="1"/>
  <c r="L57" i="92"/>
  <c r="M57" i="92" s="1"/>
  <c r="L94" i="92"/>
  <c r="M94" i="92" s="1"/>
  <c r="L82" i="92"/>
  <c r="M82" i="92" s="1"/>
  <c r="L70" i="92"/>
  <c r="M70" i="92" s="1"/>
  <c r="L58" i="92"/>
  <c r="M58" i="92" s="1"/>
  <c r="L46" i="92"/>
  <c r="M46" i="92" s="1"/>
  <c r="L34" i="92"/>
  <c r="M34" i="92" s="1"/>
  <c r="L51" i="92"/>
  <c r="M51" i="92" s="1"/>
  <c r="L93" i="92"/>
  <c r="M93" i="92" s="1"/>
  <c r="L81" i="92"/>
  <c r="M81" i="92" s="1"/>
  <c r="L69" i="92"/>
  <c r="M69" i="92" s="1"/>
  <c r="L33" i="92"/>
  <c r="L104" i="92"/>
  <c r="M104" i="92" s="1"/>
  <c r="L92" i="92"/>
  <c r="M92" i="92" s="1"/>
  <c r="L80" i="92"/>
  <c r="M80" i="92" s="1"/>
  <c r="L68" i="92"/>
  <c r="M68" i="92" s="1"/>
  <c r="L56" i="92"/>
  <c r="M56" i="92" s="1"/>
  <c r="L44" i="92"/>
  <c r="M44" i="92" s="1"/>
  <c r="L88" i="92"/>
  <c r="M88" i="92" s="1"/>
  <c r="L103" i="92"/>
  <c r="M103" i="92" s="1"/>
  <c r="L91" i="92"/>
  <c r="M91" i="92" s="1"/>
  <c r="L79" i="92"/>
  <c r="M79" i="92" s="1"/>
  <c r="L67" i="92"/>
  <c r="M67" i="92" s="1"/>
  <c r="L55" i="92"/>
  <c r="M55" i="92" s="1"/>
  <c r="L43" i="92"/>
  <c r="M43" i="92" s="1"/>
  <c r="L41" i="92"/>
  <c r="M41" i="92" s="1"/>
  <c r="L40" i="92"/>
  <c r="M40" i="92" s="1"/>
  <c r="L102" i="92"/>
  <c r="M102" i="92" s="1"/>
  <c r="L90" i="92"/>
  <c r="M90" i="92" s="1"/>
  <c r="L78" i="92"/>
  <c r="M78" i="92" s="1"/>
  <c r="L66" i="92"/>
  <c r="M66" i="92" s="1"/>
  <c r="L54" i="92"/>
  <c r="M54" i="92" s="1"/>
  <c r="L42" i="92"/>
  <c r="M42" i="92" s="1"/>
  <c r="L53" i="92"/>
  <c r="M53" i="92" s="1"/>
  <c r="L39" i="92"/>
  <c r="M39" i="92" s="1"/>
  <c r="L101" i="92"/>
  <c r="M101" i="92" s="1"/>
  <c r="L89" i="92"/>
  <c r="M89" i="92" s="1"/>
  <c r="L77" i="92"/>
  <c r="M77" i="92" s="1"/>
  <c r="L65" i="92"/>
  <c r="M65" i="92" s="1"/>
  <c r="L63" i="92"/>
  <c r="M63" i="92" s="1"/>
  <c r="L100" i="92"/>
  <c r="M100" i="92" s="1"/>
  <c r="L64" i="92"/>
  <c r="M64" i="92" s="1"/>
  <c r="L99" i="92"/>
  <c r="M99" i="92" s="1"/>
  <c r="L87" i="92"/>
  <c r="M87" i="92" s="1"/>
  <c r="L75" i="92"/>
  <c r="M75" i="92" s="1"/>
  <c r="N24" i="92"/>
  <c r="N25" i="92" s="1"/>
  <c r="N26" i="92" s="1"/>
  <c r="N27" i="92" s="1"/>
  <c r="N28" i="92" s="1"/>
  <c r="N29" i="92" s="1"/>
  <c r="N30" i="92" s="1"/>
  <c r="L12" i="92"/>
  <c r="F12" i="92"/>
  <c r="L11" i="92"/>
  <c r="F11" i="92"/>
  <c r="F5" i="92"/>
  <c r="K69" i="94" l="1"/>
  <c r="M69" i="94" s="1"/>
  <c r="S69" i="94" s="1"/>
  <c r="S70" i="94" s="1"/>
  <c r="S71" i="94" s="1"/>
  <c r="S72" i="94" s="1"/>
  <c r="S73" i="94" s="1"/>
  <c r="S74" i="94" s="1"/>
  <c r="S75" i="94" s="1"/>
  <c r="S76" i="94" s="1"/>
  <c r="S77" i="94" s="1"/>
  <c r="S78" i="94" s="1"/>
  <c r="S79" i="94" s="1"/>
  <c r="S80" i="94" s="1"/>
  <c r="S81" i="94" s="1"/>
  <c r="S82" i="94" s="1"/>
  <c r="S83" i="94" s="1"/>
  <c r="S84" i="94" s="1"/>
  <c r="S85" i="94" s="1"/>
  <c r="S86" i="94" s="1"/>
  <c r="S87" i="94" s="1"/>
  <c r="S88" i="94" s="1"/>
  <c r="S89" i="94" s="1"/>
  <c r="S90" i="94" s="1"/>
  <c r="S91" i="94" s="1"/>
  <c r="S92" i="94" s="1"/>
  <c r="N68" i="94"/>
  <c r="K15" i="94"/>
  <c r="S21" i="94"/>
  <c r="S22" i="94" s="1"/>
  <c r="S23" i="94" s="1"/>
  <c r="S24" i="94" s="1"/>
  <c r="S25" i="94" s="1"/>
  <c r="S26" i="94" s="1"/>
  <c r="S27" i="94" s="1"/>
  <c r="S28" i="94" s="1"/>
  <c r="S29" i="94" s="1"/>
  <c r="S30" i="94" s="1"/>
  <c r="S31" i="94" s="1"/>
  <c r="S32" i="94" s="1"/>
  <c r="S33" i="94" s="1"/>
  <c r="S34" i="94" s="1"/>
  <c r="S35" i="94" s="1"/>
  <c r="S36" i="94" s="1"/>
  <c r="S37" i="94" s="1"/>
  <c r="S38" i="94" s="1"/>
  <c r="S39" i="94" s="1"/>
  <c r="S40" i="94" s="1"/>
  <c r="S41" i="94" s="1"/>
  <c r="S42" i="94" s="1"/>
  <c r="S43" i="94" s="1"/>
  <c r="S44" i="94" s="1"/>
  <c r="S45" i="94" s="1"/>
  <c r="S46" i="94" s="1"/>
  <c r="S47" i="94" s="1"/>
  <c r="S48" i="94" s="1"/>
  <c r="S49" i="94" s="1"/>
  <c r="S50" i="94" s="1"/>
  <c r="S51" i="94" s="1"/>
  <c r="S52" i="94" s="1"/>
  <c r="S53" i="94" s="1"/>
  <c r="S54" i="94" s="1"/>
  <c r="S55" i="94" s="1"/>
  <c r="S56" i="94" s="1"/>
  <c r="S57" i="94" s="1"/>
  <c r="S58" i="94" s="1"/>
  <c r="S59" i="94" s="1"/>
  <c r="S60" i="94" s="1"/>
  <c r="S61" i="94" s="1"/>
  <c r="S62" i="94" s="1"/>
  <c r="S63" i="94" s="1"/>
  <c r="S64" i="94" s="1"/>
  <c r="S65" i="94" s="1"/>
  <c r="S66" i="94" s="1"/>
  <c r="S67" i="94" s="1"/>
  <c r="S68" i="94" s="1"/>
  <c r="O21" i="94"/>
  <c r="O22" i="94" s="1"/>
  <c r="O23" i="94" s="1"/>
  <c r="O24" i="94" s="1"/>
  <c r="O25" i="94" s="1"/>
  <c r="O26" i="94" s="1"/>
  <c r="O27" i="94" s="1"/>
  <c r="O28" i="94" s="1"/>
  <c r="O29" i="94" s="1"/>
  <c r="O30" i="94" s="1"/>
  <c r="O31" i="94" s="1"/>
  <c r="O32" i="94" s="1"/>
  <c r="O33" i="94" s="1"/>
  <c r="O34" i="94" s="1"/>
  <c r="O35" i="94" s="1"/>
  <c r="O36" i="94" s="1"/>
  <c r="O37" i="94" s="1"/>
  <c r="O38" i="94" s="1"/>
  <c r="O39" i="94" s="1"/>
  <c r="O40" i="94" s="1"/>
  <c r="O41" i="94" s="1"/>
  <c r="O42" i="94" s="1"/>
  <c r="O43" i="94" s="1"/>
  <c r="O44" i="94" s="1"/>
  <c r="O45" i="94" s="1"/>
  <c r="O46" i="94" s="1"/>
  <c r="O47" i="94" s="1"/>
  <c r="O48" i="94" s="1"/>
  <c r="O49" i="94" s="1"/>
  <c r="O50" i="94" s="1"/>
  <c r="O51" i="94" s="1"/>
  <c r="O52" i="94" s="1"/>
  <c r="O53" i="94" s="1"/>
  <c r="O54" i="94" s="1"/>
  <c r="O55" i="94" s="1"/>
  <c r="O56" i="94" s="1"/>
  <c r="O57" i="94" s="1"/>
  <c r="O58" i="94" s="1"/>
  <c r="O59" i="94" s="1"/>
  <c r="O60" i="94" s="1"/>
  <c r="O61" i="94" s="1"/>
  <c r="O62" i="94" s="1"/>
  <c r="O63" i="94" s="1"/>
  <c r="O64" i="94" s="1"/>
  <c r="O65" i="94" s="1"/>
  <c r="O66" i="94" s="1"/>
  <c r="O67" i="94" s="1"/>
  <c r="O68" i="94" s="1"/>
  <c r="O69" i="94" s="1"/>
  <c r="O70" i="94" s="1"/>
  <c r="O71" i="94" s="1"/>
  <c r="O72" i="94" s="1"/>
  <c r="O73" i="94" s="1"/>
  <c r="O74" i="94" s="1"/>
  <c r="O75" i="94" s="1"/>
  <c r="O76" i="94" s="1"/>
  <c r="O77" i="94" s="1"/>
  <c r="O78" i="94" s="1"/>
  <c r="O79" i="94" s="1"/>
  <c r="O80" i="94" s="1"/>
  <c r="O81" i="94" s="1"/>
  <c r="O82" i="94" s="1"/>
  <c r="O83" i="94" s="1"/>
  <c r="O84" i="94" s="1"/>
  <c r="O85" i="94" s="1"/>
  <c r="O86" i="94" s="1"/>
  <c r="O87" i="94" s="1"/>
  <c r="O88" i="94" s="1"/>
  <c r="O89" i="94" s="1"/>
  <c r="O90" i="94" s="1"/>
  <c r="O91" i="94" s="1"/>
  <c r="M15" i="94"/>
  <c r="L5" i="89"/>
  <c r="N69" i="94" l="1"/>
  <c r="N70" i="94" s="1"/>
  <c r="N71" i="94" s="1"/>
  <c r="N72" i="94" s="1"/>
  <c r="N73" i="94" s="1"/>
  <c r="N74" i="94" s="1"/>
  <c r="N75" i="94" s="1"/>
  <c r="N76" i="94" s="1"/>
  <c r="N77" i="94" s="1"/>
  <c r="N78" i="94" s="1"/>
  <c r="N79" i="94" s="1"/>
  <c r="N80" i="94" s="1"/>
  <c r="N81" i="94" s="1"/>
  <c r="N82" i="94" s="1"/>
  <c r="N83" i="94" s="1"/>
  <c r="N84" i="94" s="1"/>
  <c r="N85" i="94" s="1"/>
  <c r="N86" i="94" s="1"/>
  <c r="N87" i="94" s="1"/>
  <c r="N88" i="94" s="1"/>
  <c r="N89" i="94" s="1"/>
  <c r="N90" i="94" s="1"/>
  <c r="N91" i="94" s="1"/>
  <c r="N92" i="94" s="1"/>
  <c r="O92" i="94"/>
  <c r="L10" i="89"/>
  <c r="L9" i="89"/>
  <c r="L7" i="89"/>
  <c r="L6" i="89"/>
  <c r="L8" i="89"/>
  <c r="E14" i="89"/>
  <c r="D14" i="89"/>
  <c r="G31" i="91"/>
  <c r="I15" i="91"/>
  <c r="I14" i="91"/>
  <c r="I13" i="91"/>
  <c r="I12" i="91"/>
  <c r="I11" i="91"/>
  <c r="I10" i="91"/>
  <c r="I9" i="91"/>
  <c r="I8" i="91"/>
  <c r="I7" i="91"/>
  <c r="I6" i="91"/>
  <c r="D169" i="2" l="1"/>
  <c r="L38" i="89" s="1"/>
  <c r="K13" i="89"/>
  <c r="L12" i="89"/>
  <c r="L11" i="89"/>
  <c r="X5" i="89"/>
  <c r="D311" i="2"/>
  <c r="L39" i="89" l="1"/>
  <c r="L107" i="89"/>
  <c r="M107" i="89" s="1"/>
  <c r="L33" i="89"/>
  <c r="L31" i="89"/>
  <c r="L32" i="89"/>
  <c r="L34" i="89"/>
  <c r="L35" i="89"/>
  <c r="L36" i="89"/>
  <c r="L37" i="89"/>
  <c r="L13" i="89"/>
  <c r="O19" i="89"/>
  <c r="N19" i="89"/>
  <c r="M19" i="92" l="1"/>
  <c r="R12" i="89"/>
  <c r="R11" i="89"/>
  <c r="R10" i="89"/>
  <c r="R9" i="89"/>
  <c r="R8" i="89"/>
  <c r="R7" i="89"/>
  <c r="R6" i="89"/>
  <c r="R5" i="89"/>
  <c r="F12" i="89"/>
  <c r="F11" i="89"/>
  <c r="F10" i="89"/>
  <c r="F9" i="89"/>
  <c r="F8" i="89"/>
  <c r="F7" i="89"/>
  <c r="F6" i="89"/>
  <c r="F5" i="89"/>
  <c r="O19" i="92" l="1"/>
  <c r="O20" i="92" s="1"/>
  <c r="O21" i="92" s="1"/>
  <c r="O22" i="92" s="1"/>
  <c r="O23" i="92" s="1"/>
  <c r="O24" i="92" s="1"/>
  <c r="O25" i="92" s="1"/>
  <c r="O26" i="92" s="1"/>
  <c r="O27" i="92" s="1"/>
  <c r="O28" i="92" s="1"/>
  <c r="O29" i="92" s="1"/>
  <c r="S19" i="92"/>
  <c r="S22" i="92" s="1"/>
  <c r="S23" i="92" s="1"/>
  <c r="S24" i="92" s="1"/>
  <c r="S25" i="92" s="1"/>
  <c r="S26" i="92" s="1"/>
  <c r="S27" i="92" s="1"/>
  <c r="S28" i="92" s="1"/>
  <c r="S29" i="92" s="1"/>
  <c r="S30" i="92" s="1"/>
  <c r="S31" i="92" s="1"/>
  <c r="F14" i="89"/>
  <c r="X6" i="89"/>
  <c r="X12" i="89"/>
  <c r="X7" i="89"/>
  <c r="L103" i="89" l="1"/>
  <c r="M103" i="89" s="1"/>
  <c r="L91" i="89"/>
  <c r="M91" i="89" s="1"/>
  <c r="L79" i="89"/>
  <c r="M79" i="89" s="1"/>
  <c r="L67" i="89"/>
  <c r="M67" i="89" s="1"/>
  <c r="L55" i="89"/>
  <c r="M55" i="89" s="1"/>
  <c r="L43" i="89"/>
  <c r="M43" i="89" s="1"/>
  <c r="L93" i="89"/>
  <c r="M93" i="89" s="1"/>
  <c r="L56" i="89"/>
  <c r="M56" i="89" s="1"/>
  <c r="L102" i="89"/>
  <c r="M102" i="89" s="1"/>
  <c r="L90" i="89"/>
  <c r="M90" i="89" s="1"/>
  <c r="L78" i="89"/>
  <c r="M78" i="89" s="1"/>
  <c r="L66" i="89"/>
  <c r="M66" i="89" s="1"/>
  <c r="L54" i="89"/>
  <c r="M54" i="89" s="1"/>
  <c r="L42" i="89"/>
  <c r="M42" i="89" s="1"/>
  <c r="L45" i="89"/>
  <c r="M45" i="89" s="1"/>
  <c r="L92" i="89"/>
  <c r="M92" i="89" s="1"/>
  <c r="L101" i="89"/>
  <c r="M101" i="89" s="1"/>
  <c r="L89" i="89"/>
  <c r="M89" i="89" s="1"/>
  <c r="L77" i="89"/>
  <c r="M77" i="89" s="1"/>
  <c r="L65" i="89"/>
  <c r="M65" i="89" s="1"/>
  <c r="L53" i="89"/>
  <c r="M53" i="89" s="1"/>
  <c r="L41" i="89"/>
  <c r="M41" i="89" s="1"/>
  <c r="L44" i="89"/>
  <c r="M44" i="89" s="1"/>
  <c r="L100" i="89"/>
  <c r="M100" i="89" s="1"/>
  <c r="L88" i="89"/>
  <c r="M88" i="89" s="1"/>
  <c r="L76" i="89"/>
  <c r="M76" i="89" s="1"/>
  <c r="L64" i="89"/>
  <c r="M64" i="89" s="1"/>
  <c r="L52" i="89"/>
  <c r="M52" i="89" s="1"/>
  <c r="L40" i="89"/>
  <c r="M40" i="89" s="1"/>
  <c r="L105" i="89"/>
  <c r="L99" i="89"/>
  <c r="M99" i="89" s="1"/>
  <c r="L87" i="89"/>
  <c r="M87" i="89" s="1"/>
  <c r="L75" i="89"/>
  <c r="M75" i="89" s="1"/>
  <c r="L63" i="89"/>
  <c r="M63" i="89" s="1"/>
  <c r="L51" i="89"/>
  <c r="M51" i="89" s="1"/>
  <c r="L98" i="89"/>
  <c r="M98" i="89" s="1"/>
  <c r="L86" i="89"/>
  <c r="M86" i="89" s="1"/>
  <c r="L74" i="89"/>
  <c r="M74" i="89" s="1"/>
  <c r="L62" i="89"/>
  <c r="M62" i="89" s="1"/>
  <c r="L50" i="89"/>
  <c r="M50" i="89" s="1"/>
  <c r="M37" i="89"/>
  <c r="L81" i="89"/>
  <c r="M81" i="89" s="1"/>
  <c r="L80" i="89"/>
  <c r="M80" i="89" s="1"/>
  <c r="L97" i="89"/>
  <c r="M97" i="89" s="1"/>
  <c r="L85" i="89"/>
  <c r="M85" i="89" s="1"/>
  <c r="L73" i="89"/>
  <c r="M73" i="89" s="1"/>
  <c r="L61" i="89"/>
  <c r="M61" i="89" s="1"/>
  <c r="L49" i="89"/>
  <c r="M49" i="89" s="1"/>
  <c r="M36" i="89"/>
  <c r="M32" i="89"/>
  <c r="L68" i="89"/>
  <c r="M68" i="89" s="1"/>
  <c r="L96" i="89"/>
  <c r="M96" i="89" s="1"/>
  <c r="L84" i="89"/>
  <c r="M84" i="89" s="1"/>
  <c r="L72" i="89"/>
  <c r="M72" i="89" s="1"/>
  <c r="L60" i="89"/>
  <c r="M60" i="89" s="1"/>
  <c r="L48" i="89"/>
  <c r="M48" i="89" s="1"/>
  <c r="M35" i="89"/>
  <c r="L95" i="89"/>
  <c r="M95" i="89" s="1"/>
  <c r="L83" i="89"/>
  <c r="M83" i="89" s="1"/>
  <c r="L71" i="89"/>
  <c r="M71" i="89" s="1"/>
  <c r="L59" i="89"/>
  <c r="M59" i="89" s="1"/>
  <c r="L47" i="89"/>
  <c r="M47" i="89" s="1"/>
  <c r="M34" i="89"/>
  <c r="L69" i="89"/>
  <c r="M69" i="89" s="1"/>
  <c r="L104" i="89"/>
  <c r="M104" i="89" s="1"/>
  <c r="L106" i="89"/>
  <c r="M106" i="89" s="1"/>
  <c r="L94" i="89"/>
  <c r="M94" i="89" s="1"/>
  <c r="L82" i="89"/>
  <c r="M82" i="89" s="1"/>
  <c r="L70" i="89"/>
  <c r="M70" i="89" s="1"/>
  <c r="L58" i="89"/>
  <c r="M58" i="89" s="1"/>
  <c r="L46" i="89"/>
  <c r="M46" i="89" s="1"/>
  <c r="M33" i="89"/>
  <c r="L57" i="89"/>
  <c r="M57" i="89" s="1"/>
  <c r="D161" i="2" l="1"/>
  <c r="L30" i="89" l="1"/>
  <c r="K30" i="89" s="1"/>
  <c r="L90" i="86"/>
  <c r="L78" i="86"/>
  <c r="L66" i="86"/>
  <c r="L54" i="86"/>
  <c r="L42" i="86"/>
  <c r="L30" i="86"/>
  <c r="L61" i="86"/>
  <c r="L27" i="89"/>
  <c r="M27" i="89" s="1"/>
  <c r="L89" i="86"/>
  <c r="L77" i="86"/>
  <c r="L65" i="86"/>
  <c r="L53" i="86"/>
  <c r="L41" i="86"/>
  <c r="L29" i="86"/>
  <c r="L85" i="86"/>
  <c r="L44" i="86"/>
  <c r="L26" i="89"/>
  <c r="M26" i="89" s="1"/>
  <c r="L88" i="86"/>
  <c r="L76" i="86"/>
  <c r="L64" i="86"/>
  <c r="L52" i="86"/>
  <c r="L40" i="86"/>
  <c r="L28" i="86"/>
  <c r="L26" i="86"/>
  <c r="L37" i="86"/>
  <c r="L36" i="86"/>
  <c r="L80" i="86"/>
  <c r="L43" i="86"/>
  <c r="L25" i="89"/>
  <c r="M25" i="89" s="1"/>
  <c r="L87" i="86"/>
  <c r="L75" i="86"/>
  <c r="L63" i="86"/>
  <c r="L51" i="86"/>
  <c r="L39" i="86"/>
  <c r="L27" i="86"/>
  <c r="L38" i="86"/>
  <c r="L49" i="86"/>
  <c r="L32" i="86"/>
  <c r="L91" i="86"/>
  <c r="L67" i="86"/>
  <c r="L24" i="89"/>
  <c r="M24" i="89" s="1"/>
  <c r="L86" i="86"/>
  <c r="L74" i="86"/>
  <c r="L62" i="86"/>
  <c r="L50" i="86"/>
  <c r="L60" i="86"/>
  <c r="L92" i="86"/>
  <c r="L56" i="86"/>
  <c r="L79" i="86"/>
  <c r="L23" i="89"/>
  <c r="M23" i="89" s="1"/>
  <c r="L73" i="86"/>
  <c r="L22" i="89"/>
  <c r="M22" i="89" s="1"/>
  <c r="L84" i="86"/>
  <c r="L72" i="86"/>
  <c r="L48" i="86"/>
  <c r="L21" i="89"/>
  <c r="M21" i="89" s="1"/>
  <c r="L83" i="86"/>
  <c r="L71" i="86"/>
  <c r="L59" i="86"/>
  <c r="L47" i="86"/>
  <c r="L35" i="86"/>
  <c r="L70" i="86"/>
  <c r="L34" i="86"/>
  <c r="L68" i="86"/>
  <c r="I29" i="89"/>
  <c r="L94" i="86"/>
  <c r="L82" i="86"/>
  <c r="L58" i="86"/>
  <c r="L46" i="86"/>
  <c r="L31" i="86"/>
  <c r="L93" i="86"/>
  <c r="L81" i="86"/>
  <c r="L69" i="86"/>
  <c r="L57" i="86"/>
  <c r="L45" i="86"/>
  <c r="L33" i="86"/>
  <c r="L55" i="86"/>
  <c r="S19" i="89"/>
  <c r="Q13" i="89"/>
  <c r="E13" i="89"/>
  <c r="D13" i="89"/>
  <c r="L5" i="82"/>
  <c r="L11" i="86"/>
  <c r="L10" i="86"/>
  <c r="L9" i="86"/>
  <c r="L8" i="86"/>
  <c r="L7" i="86"/>
  <c r="L6" i="86"/>
  <c r="L5" i="86"/>
  <c r="K88" i="86"/>
  <c r="Q14" i="89" l="1"/>
  <c r="S21" i="89"/>
  <c r="S22" i="89" s="1"/>
  <c r="S23" i="89" s="1"/>
  <c r="S24" i="89" s="1"/>
  <c r="S25" i="89" s="1"/>
  <c r="S26" i="89" s="1"/>
  <c r="S27" i="89" s="1"/>
  <c r="S28" i="89" s="1"/>
  <c r="S29" i="89" s="1"/>
  <c r="S30" i="89" s="1"/>
  <c r="K31" i="89"/>
  <c r="M31" i="89" s="1"/>
  <c r="G12" i="89"/>
  <c r="F13" i="89"/>
  <c r="R13" i="89"/>
  <c r="F12" i="86"/>
  <c r="F11" i="86"/>
  <c r="F9" i="86"/>
  <c r="F8" i="86"/>
  <c r="F7" i="86"/>
  <c r="F6" i="86"/>
  <c r="F5" i="86"/>
  <c r="S19" i="86"/>
  <c r="K49" i="86"/>
  <c r="R14" i="89" l="1"/>
  <c r="O20" i="89"/>
  <c r="S31" i="89"/>
  <c r="S32" i="89" s="1"/>
  <c r="S33" i="89" s="1"/>
  <c r="S34" i="89" s="1"/>
  <c r="S35" i="89" s="1"/>
  <c r="S36" i="89" s="1"/>
  <c r="S37" i="89" s="1"/>
  <c r="X13" i="89"/>
  <c r="G13" i="89"/>
  <c r="G11" i="89" s="1"/>
  <c r="O21" i="89" l="1"/>
  <c r="O22" i="89" s="1"/>
  <c r="O23" i="89" s="1"/>
  <c r="O24" i="89" s="1"/>
  <c r="O25" i="89" s="1"/>
  <c r="O26" i="89" s="1"/>
  <c r="O27" i="89" s="1"/>
  <c r="O28" i="89" s="1"/>
  <c r="O29" i="89" s="1"/>
  <c r="O30" i="89" s="1"/>
  <c r="O31" i="89" s="1"/>
  <c r="O32" i="89" s="1"/>
  <c r="O33" i="89" s="1"/>
  <c r="O34" i="89" s="1"/>
  <c r="O35" i="89" s="1"/>
  <c r="O36" i="89" s="1"/>
  <c r="O37" i="89" s="1"/>
  <c r="M87" i="86"/>
  <c r="M75" i="86"/>
  <c r="M63" i="86"/>
  <c r="M51" i="86"/>
  <c r="M39" i="86"/>
  <c r="M27" i="86"/>
  <c r="M31" i="86"/>
  <c r="M74" i="86"/>
  <c r="M50" i="86"/>
  <c r="M38" i="86"/>
  <c r="M55" i="86"/>
  <c r="M30" i="86"/>
  <c r="M85" i="86"/>
  <c r="M73" i="86"/>
  <c r="M61" i="86"/>
  <c r="M37" i="86"/>
  <c r="M54" i="86"/>
  <c r="M88" i="86"/>
  <c r="M84" i="86"/>
  <c r="M72" i="86"/>
  <c r="M60" i="86"/>
  <c r="M48" i="86"/>
  <c r="M36" i="86"/>
  <c r="M47" i="86"/>
  <c r="M83" i="86"/>
  <c r="M71" i="86"/>
  <c r="M59" i="86"/>
  <c r="M35" i="86"/>
  <c r="M66" i="86"/>
  <c r="M40" i="86"/>
  <c r="M94" i="86"/>
  <c r="M82" i="86"/>
  <c r="M70" i="86"/>
  <c r="M58" i="86"/>
  <c r="M46" i="86"/>
  <c r="M34" i="86"/>
  <c r="M42" i="86"/>
  <c r="M64" i="86"/>
  <c r="M81" i="86"/>
  <c r="M69" i="86"/>
  <c r="M57" i="86"/>
  <c r="M45" i="86"/>
  <c r="M33" i="86"/>
  <c r="M67" i="86"/>
  <c r="M29" i="86"/>
  <c r="M52" i="86"/>
  <c r="M92" i="86"/>
  <c r="M80" i="86"/>
  <c r="M68" i="86"/>
  <c r="M56" i="86"/>
  <c r="M44" i="86"/>
  <c r="M32" i="86"/>
  <c r="L20" i="86"/>
  <c r="M28" i="86"/>
  <c r="M91" i="86"/>
  <c r="M79" i="86"/>
  <c r="M43" i="86"/>
  <c r="M89" i="86"/>
  <c r="M77" i="86"/>
  <c r="M65" i="86"/>
  <c r="M41" i="86"/>
  <c r="O19" i="86"/>
  <c r="O20" i="86" s="1"/>
  <c r="N19" i="86"/>
  <c r="N20" i="86" s="1"/>
  <c r="N21" i="86" s="1"/>
  <c r="N22" i="86" s="1"/>
  <c r="N23" i="86" s="1"/>
  <c r="N24" i="86" s="1"/>
  <c r="L12" i="86"/>
  <c r="J14" i="82" l="1"/>
  <c r="O38" i="89" l="1"/>
  <c r="S38" i="89"/>
  <c r="D316" i="2" l="1"/>
  <c r="K38" i="89" l="1"/>
  <c r="K82" i="82"/>
  <c r="K93" i="82"/>
  <c r="L7" i="82"/>
  <c r="L8" i="82"/>
  <c r="L9" i="82"/>
  <c r="L6" i="82"/>
  <c r="O19" i="82"/>
  <c r="O20" i="82" s="1"/>
  <c r="N19" i="82"/>
  <c r="N20" i="82" s="1"/>
  <c r="N21" i="82" s="1"/>
  <c r="N22" i="82" s="1"/>
  <c r="N23" i="82" s="1"/>
  <c r="N24" i="82" s="1"/>
  <c r="N25" i="82" s="1"/>
  <c r="K39" i="89" l="1"/>
  <c r="M39" i="89" s="1"/>
  <c r="S39" i="89" s="1"/>
  <c r="S40" i="89" s="1"/>
  <c r="S41" i="89" s="1"/>
  <c r="S42" i="89" s="1"/>
  <c r="S43" i="89" s="1"/>
  <c r="S44" i="89" s="1"/>
  <c r="S45" i="89" s="1"/>
  <c r="S46" i="89" s="1"/>
  <c r="S47" i="89" s="1"/>
  <c r="S48" i="89" s="1"/>
  <c r="S49" i="89" s="1"/>
  <c r="S50" i="89" s="1"/>
  <c r="S51" i="89" s="1"/>
  <c r="S52" i="89" s="1"/>
  <c r="S53" i="89" s="1"/>
  <c r="S54" i="89" s="1"/>
  <c r="S55" i="89" s="1"/>
  <c r="S56" i="89" s="1"/>
  <c r="S57" i="89" s="1"/>
  <c r="S58" i="89" s="1"/>
  <c r="S59" i="89" s="1"/>
  <c r="S60" i="89" s="1"/>
  <c r="S61" i="89" s="1"/>
  <c r="S62" i="89" s="1"/>
  <c r="S63" i="89" s="1"/>
  <c r="S64" i="89" s="1"/>
  <c r="S65" i="89" s="1"/>
  <c r="S66" i="89" s="1"/>
  <c r="S67" i="89" s="1"/>
  <c r="S68" i="89" s="1"/>
  <c r="S69" i="89" s="1"/>
  <c r="S70" i="89" s="1"/>
  <c r="S71" i="89" s="1"/>
  <c r="S72" i="89" s="1"/>
  <c r="S73" i="89" s="1"/>
  <c r="S74" i="89" s="1"/>
  <c r="S75" i="89" s="1"/>
  <c r="S76" i="89" s="1"/>
  <c r="S77" i="89" s="1"/>
  <c r="S78" i="89" s="1"/>
  <c r="S79" i="89" s="1"/>
  <c r="S80" i="89" s="1"/>
  <c r="S81" i="89" s="1"/>
  <c r="S82" i="89" s="1"/>
  <c r="S83" i="89" s="1"/>
  <c r="S84" i="89" s="1"/>
  <c r="S85" i="89" s="1"/>
  <c r="S86" i="89" s="1"/>
  <c r="S87" i="89" s="1"/>
  <c r="S88" i="89" s="1"/>
  <c r="S89" i="89" s="1"/>
  <c r="S90" i="89" s="1"/>
  <c r="S91" i="89" s="1"/>
  <c r="S92" i="89" s="1"/>
  <c r="S93" i="89" s="1"/>
  <c r="S94" i="89" s="1"/>
  <c r="S95" i="89" s="1"/>
  <c r="S96" i="89" s="1"/>
  <c r="S97" i="89" s="1"/>
  <c r="S98" i="89" s="1"/>
  <c r="S99" i="89" s="1"/>
  <c r="S100" i="89" s="1"/>
  <c r="S101" i="89" s="1"/>
  <c r="S102" i="89" s="1"/>
  <c r="S103" i="89" s="1"/>
  <c r="S104" i="89" s="1"/>
  <c r="S105" i="89" s="1"/>
  <c r="S106" i="89" s="1"/>
  <c r="D154" i="2"/>
  <c r="K84" i="82"/>
  <c r="K15" i="89" l="1"/>
  <c r="O39" i="89"/>
  <c r="O40" i="89" s="1"/>
  <c r="O41" i="89" s="1"/>
  <c r="O42" i="89" s="1"/>
  <c r="O43" i="89" s="1"/>
  <c r="O44" i="89" s="1"/>
  <c r="O45" i="89" s="1"/>
  <c r="O46" i="89" s="1"/>
  <c r="O47" i="89" s="1"/>
  <c r="O48" i="89" s="1"/>
  <c r="O49" i="89" s="1"/>
  <c r="O50" i="89" s="1"/>
  <c r="O51" i="89" s="1"/>
  <c r="O52" i="89" s="1"/>
  <c r="O53" i="89" s="1"/>
  <c r="O54" i="89" s="1"/>
  <c r="O55" i="89" s="1"/>
  <c r="O56" i="89" s="1"/>
  <c r="O57" i="89" s="1"/>
  <c r="O58" i="89" s="1"/>
  <c r="O59" i="89" s="1"/>
  <c r="O60" i="89" s="1"/>
  <c r="O61" i="89" s="1"/>
  <c r="O62" i="89" s="1"/>
  <c r="O63" i="89" s="1"/>
  <c r="O64" i="89" s="1"/>
  <c r="O65" i="89" s="1"/>
  <c r="O66" i="89" s="1"/>
  <c r="O67" i="89" s="1"/>
  <c r="O68" i="89" s="1"/>
  <c r="O69" i="89" s="1"/>
  <c r="O70" i="89" s="1"/>
  <c r="O71" i="89" s="1"/>
  <c r="O72" i="89" s="1"/>
  <c r="O73" i="89" s="1"/>
  <c r="O74" i="89" s="1"/>
  <c r="O75" i="89" s="1"/>
  <c r="O76" i="89" s="1"/>
  <c r="O77" i="89" s="1"/>
  <c r="O78" i="89" s="1"/>
  <c r="O79" i="89" s="1"/>
  <c r="O80" i="89" s="1"/>
  <c r="O81" i="89" s="1"/>
  <c r="O82" i="89" s="1"/>
  <c r="O83" i="89" s="1"/>
  <c r="O84" i="89" s="1"/>
  <c r="O85" i="89" s="1"/>
  <c r="O86" i="89" s="1"/>
  <c r="O87" i="89" s="1"/>
  <c r="O88" i="89" s="1"/>
  <c r="O89" i="89" s="1"/>
  <c r="O90" i="89" s="1"/>
  <c r="O91" i="89" s="1"/>
  <c r="O92" i="89" s="1"/>
  <c r="O93" i="89" s="1"/>
  <c r="O94" i="89" s="1"/>
  <c r="O95" i="89" s="1"/>
  <c r="L24" i="86"/>
  <c r="M24" i="86" s="1"/>
  <c r="L25" i="86"/>
  <c r="L23" i="86"/>
  <c r="M23" i="86" s="1"/>
  <c r="L21" i="86"/>
  <c r="M21" i="86" s="1"/>
  <c r="S21" i="86" s="1"/>
  <c r="L22" i="86"/>
  <c r="M22" i="86" s="1"/>
  <c r="L86" i="82"/>
  <c r="M86" i="82" s="1"/>
  <c r="L74" i="82"/>
  <c r="M74" i="82" s="1"/>
  <c r="L62" i="82"/>
  <c r="M62" i="82" s="1"/>
  <c r="L50" i="82"/>
  <c r="M50" i="82" s="1"/>
  <c r="L38" i="82"/>
  <c r="M38" i="82" s="1"/>
  <c r="L77" i="82"/>
  <c r="M77" i="82" s="1"/>
  <c r="L85" i="82"/>
  <c r="M85" i="82" s="1"/>
  <c r="L73" i="82"/>
  <c r="M73" i="82" s="1"/>
  <c r="L61" i="82"/>
  <c r="M61" i="82" s="1"/>
  <c r="L49" i="82"/>
  <c r="M49" i="82" s="1"/>
  <c r="L37" i="82"/>
  <c r="M37" i="82" s="1"/>
  <c r="L27" i="82"/>
  <c r="L20" i="82"/>
  <c r="L84" i="82"/>
  <c r="M84" i="82" s="1"/>
  <c r="L72" i="82"/>
  <c r="M72" i="82" s="1"/>
  <c r="L60" i="82"/>
  <c r="M60" i="82" s="1"/>
  <c r="L48" i="82"/>
  <c r="M48" i="82" s="1"/>
  <c r="L36" i="82"/>
  <c r="M36" i="82" s="1"/>
  <c r="L89" i="82"/>
  <c r="M89" i="82" s="1"/>
  <c r="L52" i="82"/>
  <c r="M52" i="82" s="1"/>
  <c r="L95" i="82"/>
  <c r="M95" i="82" s="1"/>
  <c r="L83" i="82"/>
  <c r="M83" i="82" s="1"/>
  <c r="L71" i="82"/>
  <c r="M71" i="82" s="1"/>
  <c r="L59" i="82"/>
  <c r="M59" i="82" s="1"/>
  <c r="L47" i="82"/>
  <c r="M47" i="82" s="1"/>
  <c r="L35" i="82"/>
  <c r="M35" i="82" s="1"/>
  <c r="L31" i="82"/>
  <c r="M31" i="82" s="1"/>
  <c r="L88" i="82"/>
  <c r="M88" i="82" s="1"/>
  <c r="L94" i="82"/>
  <c r="M94" i="82" s="1"/>
  <c r="L82" i="82"/>
  <c r="M82" i="82" s="1"/>
  <c r="L70" i="82"/>
  <c r="M70" i="82" s="1"/>
  <c r="L58" i="82"/>
  <c r="M58" i="82" s="1"/>
  <c r="L46" i="82"/>
  <c r="M46" i="82" s="1"/>
  <c r="L34" i="82"/>
  <c r="M34" i="82" s="1"/>
  <c r="L43" i="82"/>
  <c r="M43" i="82" s="1"/>
  <c r="L53" i="82"/>
  <c r="M53" i="82" s="1"/>
  <c r="L40" i="82"/>
  <c r="M40" i="82" s="1"/>
  <c r="L39" i="82"/>
  <c r="M39" i="82" s="1"/>
  <c r="L93" i="82"/>
  <c r="M93" i="82" s="1"/>
  <c r="L81" i="82"/>
  <c r="L69" i="82"/>
  <c r="M69" i="82" s="1"/>
  <c r="L57" i="82"/>
  <c r="M57" i="82" s="1"/>
  <c r="L45" i="82"/>
  <c r="M45" i="82" s="1"/>
  <c r="L33" i="82"/>
  <c r="M33" i="82" s="1"/>
  <c r="L55" i="82"/>
  <c r="M55" i="82" s="1"/>
  <c r="L29" i="82"/>
  <c r="M29" i="82" s="1"/>
  <c r="L76" i="82"/>
  <c r="M76" i="82" s="1"/>
  <c r="L87" i="82"/>
  <c r="M87" i="82" s="1"/>
  <c r="L92" i="82"/>
  <c r="M92" i="82" s="1"/>
  <c r="L80" i="82"/>
  <c r="M80" i="82" s="1"/>
  <c r="L68" i="82"/>
  <c r="M68" i="82" s="1"/>
  <c r="L56" i="82"/>
  <c r="M56" i="82" s="1"/>
  <c r="L44" i="82"/>
  <c r="M44" i="82" s="1"/>
  <c r="L32" i="82"/>
  <c r="M32" i="82" s="1"/>
  <c r="L79" i="82"/>
  <c r="M79" i="82" s="1"/>
  <c r="L41" i="82"/>
  <c r="M41" i="82" s="1"/>
  <c r="L64" i="82"/>
  <c r="M64" i="82" s="1"/>
  <c r="L75" i="82"/>
  <c r="M75" i="82" s="1"/>
  <c r="L91" i="82"/>
  <c r="M91" i="82" s="1"/>
  <c r="L67" i="82"/>
  <c r="M67" i="82" s="1"/>
  <c r="L63" i="82"/>
  <c r="M63" i="82" s="1"/>
  <c r="L90" i="82"/>
  <c r="M90" i="82" s="1"/>
  <c r="L78" i="82"/>
  <c r="M78" i="82" s="1"/>
  <c r="L66" i="82"/>
  <c r="M66" i="82" s="1"/>
  <c r="L54" i="82"/>
  <c r="M54" i="82" s="1"/>
  <c r="L42" i="82"/>
  <c r="M42" i="82" s="1"/>
  <c r="L30" i="82"/>
  <c r="M30" i="82" s="1"/>
  <c r="L65" i="82"/>
  <c r="M65" i="82" s="1"/>
  <c r="L28" i="82"/>
  <c r="M28" i="82" s="1"/>
  <c r="L51" i="82"/>
  <c r="M51" i="82" s="1"/>
  <c r="K81" i="82"/>
  <c r="S107" i="89" l="1"/>
  <c r="M81" i="82"/>
  <c r="J100" i="83"/>
  <c r="J99" i="83"/>
  <c r="J98" i="83"/>
  <c r="J97" i="83"/>
  <c r="J96" i="83"/>
  <c r="J95" i="83"/>
  <c r="J94" i="83"/>
  <c r="H94" i="83"/>
  <c r="J93" i="83"/>
  <c r="J92" i="83"/>
  <c r="J91" i="83"/>
  <c r="J90" i="83"/>
  <c r="J89" i="83"/>
  <c r="J88" i="83"/>
  <c r="J87" i="83"/>
  <c r="J86" i="83"/>
  <c r="J85" i="83"/>
  <c r="J84" i="83"/>
  <c r="J83" i="83"/>
  <c r="J82" i="83"/>
  <c r="J81" i="83"/>
  <c r="J80" i="83"/>
  <c r="J79" i="83"/>
  <c r="J78" i="83"/>
  <c r="J77" i="83"/>
  <c r="J76" i="83"/>
  <c r="J75" i="83"/>
  <c r="J74" i="83"/>
  <c r="J73" i="83"/>
  <c r="J72" i="83"/>
  <c r="J71" i="83"/>
  <c r="J70" i="83"/>
  <c r="J69" i="83"/>
  <c r="J68" i="83"/>
  <c r="J67" i="83"/>
  <c r="J66" i="83"/>
  <c r="J65" i="83"/>
  <c r="J64" i="83"/>
  <c r="J63" i="83"/>
  <c r="J62" i="83"/>
  <c r="J61" i="83"/>
  <c r="J60" i="83"/>
  <c r="J59" i="83"/>
  <c r="J58" i="83"/>
  <c r="J57" i="83"/>
  <c r="J56" i="83"/>
  <c r="J55" i="83"/>
  <c r="J54" i="83"/>
  <c r="J53" i="83"/>
  <c r="J52" i="83"/>
  <c r="J51" i="83"/>
  <c r="J50" i="83"/>
  <c r="J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I35" i="83"/>
  <c r="I36" i="83" s="1"/>
  <c r="I16" i="83" s="1"/>
  <c r="I15" i="83" s="1"/>
  <c r="J34" i="83"/>
  <c r="J33" i="83"/>
  <c r="J32" i="83"/>
  <c r="J31" i="83"/>
  <c r="J30" i="83"/>
  <c r="J29" i="83"/>
  <c r="J28" i="83"/>
  <c r="J27" i="83"/>
  <c r="J26" i="83"/>
  <c r="J25" i="83"/>
  <c r="J24" i="83"/>
  <c r="H24" i="83"/>
  <c r="J22" i="83"/>
  <c r="J21" i="83"/>
  <c r="K20" i="83"/>
  <c r="K21" i="83" s="1"/>
  <c r="K22" i="83" s="1"/>
  <c r="K23" i="83" s="1"/>
  <c r="K24" i="83" s="1"/>
  <c r="K25" i="83" s="1"/>
  <c r="K26" i="83" s="1"/>
  <c r="K27" i="83" s="1"/>
  <c r="K28" i="83" s="1"/>
  <c r="K29" i="83" s="1"/>
  <c r="K30" i="83" s="1"/>
  <c r="K31" i="83" s="1"/>
  <c r="K32" i="83" s="1"/>
  <c r="K33" i="83" s="1"/>
  <c r="K34" i="83" s="1"/>
  <c r="J20" i="83"/>
  <c r="N20" i="83" s="1"/>
  <c r="M14" i="83"/>
  <c r="D13" i="83"/>
  <c r="D15" i="83" s="1"/>
  <c r="K12" i="83"/>
  <c r="E13" i="83" s="1"/>
  <c r="E15" i="83" s="1"/>
  <c r="J12" i="83"/>
  <c r="I12" i="83"/>
  <c r="E12" i="83"/>
  <c r="D12" i="83"/>
  <c r="C12" i="83"/>
  <c r="C13" i="83" s="1"/>
  <c r="C15" i="83" s="1"/>
  <c r="L11" i="83"/>
  <c r="L10" i="83"/>
  <c r="L9" i="83"/>
  <c r="L8" i="83"/>
  <c r="L7" i="83"/>
  <c r="L6" i="83"/>
  <c r="L5" i="83"/>
  <c r="L4" i="83"/>
  <c r="K35" i="83" l="1"/>
  <c r="K36" i="83" s="1"/>
  <c r="K37" i="83" s="1"/>
  <c r="K38" i="83" s="1"/>
  <c r="K39" i="83" s="1"/>
  <c r="K40" i="83" s="1"/>
  <c r="K41" i="83" s="1"/>
  <c r="K42" i="83" s="1"/>
  <c r="K43" i="83" s="1"/>
  <c r="K44" i="83" s="1"/>
  <c r="K45" i="83" s="1"/>
  <c r="K46" i="83" s="1"/>
  <c r="K47" i="83" s="1"/>
  <c r="K48" i="83" s="1"/>
  <c r="K49" i="83" s="1"/>
  <c r="K50" i="83" s="1"/>
  <c r="K51" i="83" s="1"/>
  <c r="K52" i="83" s="1"/>
  <c r="K53" i="83" s="1"/>
  <c r="K54" i="83" s="1"/>
  <c r="K55" i="83" s="1"/>
  <c r="K56" i="83" s="1"/>
  <c r="K57" i="83" s="1"/>
  <c r="K58" i="83" s="1"/>
  <c r="K59" i="83" s="1"/>
  <c r="K60" i="83" s="1"/>
  <c r="K61" i="83" s="1"/>
  <c r="K62" i="83" s="1"/>
  <c r="K63" i="83" s="1"/>
  <c r="K64" i="83" s="1"/>
  <c r="K65" i="83" s="1"/>
  <c r="K66" i="83" s="1"/>
  <c r="K67" i="83" s="1"/>
  <c r="K68" i="83" s="1"/>
  <c r="K69" i="83" s="1"/>
  <c r="K70" i="83" s="1"/>
  <c r="K71" i="83" s="1"/>
  <c r="K72" i="83" s="1"/>
  <c r="K73" i="83" s="1"/>
  <c r="K74" i="83" s="1"/>
  <c r="K75" i="83" s="1"/>
  <c r="K76" i="83" s="1"/>
  <c r="K77" i="83" s="1"/>
  <c r="K78" i="83" s="1"/>
  <c r="K79" i="83" s="1"/>
  <c r="K80" i="83" s="1"/>
  <c r="K81" i="83" s="1"/>
  <c r="K82" i="83" s="1"/>
  <c r="K83" i="83" s="1"/>
  <c r="K84" i="83" s="1"/>
  <c r="K85" i="83" s="1"/>
  <c r="K86" i="83" s="1"/>
  <c r="K87" i="83" s="1"/>
  <c r="K88" i="83" s="1"/>
  <c r="K89" i="83" s="1"/>
  <c r="K90" i="83" s="1"/>
  <c r="K91" i="83" s="1"/>
  <c r="K92" i="83" s="1"/>
  <c r="K93" i="83" s="1"/>
  <c r="K94" i="83" s="1"/>
  <c r="K95" i="83" s="1"/>
  <c r="K96" i="83" s="1"/>
  <c r="K97" i="83" s="1"/>
  <c r="K98" i="83" s="1"/>
  <c r="K99" i="83" s="1"/>
  <c r="K100" i="83" s="1"/>
  <c r="L20" i="83"/>
  <c r="L21" i="83" s="1"/>
  <c r="L22" i="83" s="1"/>
  <c r="L23" i="83" s="1"/>
  <c r="L24" i="83" s="1"/>
  <c r="L25" i="83" s="1"/>
  <c r="L26" i="83" s="1"/>
  <c r="L27" i="83" s="1"/>
  <c r="L28" i="83" s="1"/>
  <c r="L29" i="83" s="1"/>
  <c r="L30" i="83" s="1"/>
  <c r="L31" i="83" s="1"/>
  <c r="L32" i="83" s="1"/>
  <c r="L33" i="83" s="1"/>
  <c r="L34" i="83" s="1"/>
  <c r="L35" i="83" s="1"/>
  <c r="N21" i="83"/>
  <c r="N24" i="83" s="1"/>
  <c r="N25" i="83" s="1"/>
  <c r="N26" i="83" s="1"/>
  <c r="N27" i="83" s="1"/>
  <c r="N28" i="83" s="1"/>
  <c r="N29" i="83" s="1"/>
  <c r="N30" i="83" s="1"/>
  <c r="N31" i="83" s="1"/>
  <c r="N32" i="83" s="1"/>
  <c r="N33" i="83" s="1"/>
  <c r="N34" i="83" s="1"/>
  <c r="N35" i="83" s="1"/>
  <c r="L12" i="83"/>
  <c r="J36" i="83"/>
  <c r="N36" i="83" s="1"/>
  <c r="N37" i="83" s="1"/>
  <c r="N38" i="83" s="1"/>
  <c r="N39" i="83" s="1"/>
  <c r="N40" i="83" s="1"/>
  <c r="N41" i="83" s="1"/>
  <c r="N42" i="83" s="1"/>
  <c r="N43" i="83" s="1"/>
  <c r="N44" i="83" s="1"/>
  <c r="N45" i="83" s="1"/>
  <c r="N46" i="83" s="1"/>
  <c r="N47" i="83" s="1"/>
  <c r="N48" i="83" s="1"/>
  <c r="N49" i="83" s="1"/>
  <c r="N50" i="83" s="1"/>
  <c r="N51" i="83" s="1"/>
  <c r="N52" i="83" s="1"/>
  <c r="N53" i="83" s="1"/>
  <c r="N54" i="83" s="1"/>
  <c r="N55" i="83" s="1"/>
  <c r="N56" i="83" s="1"/>
  <c r="N57" i="83" s="1"/>
  <c r="N58" i="83" s="1"/>
  <c r="N59" i="83" s="1"/>
  <c r="N60" i="83" s="1"/>
  <c r="N61" i="83" s="1"/>
  <c r="N62" i="83" s="1"/>
  <c r="N63" i="83" s="1"/>
  <c r="N64" i="83" s="1"/>
  <c r="N65" i="83" s="1"/>
  <c r="N66" i="83" s="1"/>
  <c r="N67" i="83" s="1"/>
  <c r="N68" i="83" s="1"/>
  <c r="N69" i="83" s="1"/>
  <c r="N70" i="83" s="1"/>
  <c r="N71" i="83" s="1"/>
  <c r="N72" i="83" s="1"/>
  <c r="N73" i="83" s="1"/>
  <c r="N74" i="83" s="1"/>
  <c r="N75" i="83" s="1"/>
  <c r="N76" i="83" s="1"/>
  <c r="N77" i="83" s="1"/>
  <c r="N78" i="83" s="1"/>
  <c r="N79" i="83" s="1"/>
  <c r="N80" i="83" s="1"/>
  <c r="N81" i="83" s="1"/>
  <c r="N82" i="83" s="1"/>
  <c r="N83" i="83" s="1"/>
  <c r="N84" i="83" s="1"/>
  <c r="N85" i="83" s="1"/>
  <c r="N86" i="83" s="1"/>
  <c r="N87" i="83" s="1"/>
  <c r="N88" i="83" s="1"/>
  <c r="N89" i="83" s="1"/>
  <c r="N90" i="83" s="1"/>
  <c r="N91" i="83" s="1"/>
  <c r="N92" i="83" s="1"/>
  <c r="N93" i="83" s="1"/>
  <c r="N94" i="83" s="1"/>
  <c r="N95" i="83" s="1"/>
  <c r="N96" i="83" s="1"/>
  <c r="N97" i="83" s="1"/>
  <c r="N98" i="83" s="1"/>
  <c r="N99" i="83" s="1"/>
  <c r="N100" i="83" s="1"/>
  <c r="J16" i="83" l="1"/>
  <c r="J15" i="83" s="1"/>
  <c r="L36" i="83"/>
  <c r="L37" i="83" s="1"/>
  <c r="L38" i="83" s="1"/>
  <c r="L39" i="83" s="1"/>
  <c r="L40" i="83" s="1"/>
  <c r="L41" i="83" s="1"/>
  <c r="L42" i="83" s="1"/>
  <c r="L43" i="83" s="1"/>
  <c r="L44" i="83" s="1"/>
  <c r="L45" i="83" s="1"/>
  <c r="L46" i="83" s="1"/>
  <c r="L47" i="83" s="1"/>
  <c r="L48" i="83" s="1"/>
  <c r="L49" i="83" s="1"/>
  <c r="L50" i="83" s="1"/>
  <c r="L51" i="83" s="1"/>
  <c r="L52" i="83" s="1"/>
  <c r="L53" i="83" s="1"/>
  <c r="L54" i="83" s="1"/>
  <c r="L55" i="83" s="1"/>
  <c r="L56" i="83" s="1"/>
  <c r="L57" i="83" s="1"/>
  <c r="L58" i="83" s="1"/>
  <c r="L59" i="83" s="1"/>
  <c r="L60" i="83" s="1"/>
  <c r="L61" i="83" s="1"/>
  <c r="L62" i="83" s="1"/>
  <c r="L63" i="83" s="1"/>
  <c r="L64" i="83" s="1"/>
  <c r="L65" i="83" s="1"/>
  <c r="L66" i="83" s="1"/>
  <c r="L67" i="83" s="1"/>
  <c r="L68" i="83" s="1"/>
  <c r="L69" i="83" s="1"/>
  <c r="L70" i="83" s="1"/>
  <c r="L71" i="83" s="1"/>
  <c r="L72" i="83" s="1"/>
  <c r="L73" i="83" s="1"/>
  <c r="L74" i="83" s="1"/>
  <c r="L75" i="83" s="1"/>
  <c r="L76" i="83" s="1"/>
  <c r="L77" i="83" s="1"/>
  <c r="L78" i="83" s="1"/>
  <c r="L79" i="83" s="1"/>
  <c r="L80" i="83" s="1"/>
  <c r="L81" i="83" s="1"/>
  <c r="L82" i="83" s="1"/>
  <c r="L83" i="83" s="1"/>
  <c r="L84" i="83" s="1"/>
  <c r="L85" i="83" s="1"/>
  <c r="L86" i="83" s="1"/>
  <c r="L87" i="83" s="1"/>
  <c r="L88" i="83" s="1"/>
  <c r="L89" i="83" s="1"/>
  <c r="L90" i="83" s="1"/>
  <c r="L91" i="83" s="1"/>
  <c r="L92" i="83" s="1"/>
  <c r="L93" i="83" s="1"/>
  <c r="L94" i="83" s="1"/>
  <c r="L95" i="83" s="1"/>
  <c r="L96" i="83" s="1"/>
  <c r="L97" i="83" s="1"/>
  <c r="L98" i="83" s="1"/>
  <c r="L99" i="83" s="1"/>
  <c r="L100" i="83" s="1"/>
  <c r="F12" i="82" l="1"/>
  <c r="F11" i="82"/>
  <c r="F9" i="82"/>
  <c r="M9" i="82" s="1"/>
  <c r="F7" i="82"/>
  <c r="M7" i="82" s="1"/>
  <c r="F5" i="82"/>
  <c r="S19" i="82" l="1"/>
  <c r="L12" i="82"/>
  <c r="M12" i="82" s="1"/>
  <c r="L11" i="82"/>
  <c r="M11" i="82" s="1"/>
  <c r="G22" i="81" l="1"/>
  <c r="N21" i="81"/>
  <c r="G21" i="81"/>
  <c r="N20" i="81"/>
  <c r="G20" i="81"/>
  <c r="N19" i="81"/>
  <c r="G19" i="81"/>
  <c r="N18" i="81"/>
  <c r="G18" i="81"/>
  <c r="N17" i="81"/>
  <c r="G17" i="81"/>
  <c r="N16" i="81"/>
  <c r="G16" i="81"/>
  <c r="N15" i="81"/>
  <c r="G15" i="81"/>
  <c r="N14" i="81"/>
  <c r="G14" i="81"/>
  <c r="N13" i="81"/>
  <c r="G13" i="81"/>
  <c r="N12" i="81"/>
  <c r="G12" i="81"/>
  <c r="N11" i="81"/>
  <c r="G11" i="81"/>
  <c r="N10" i="81"/>
  <c r="G10" i="81"/>
  <c r="N9" i="81"/>
  <c r="G9" i="81"/>
  <c r="N8" i="81"/>
  <c r="G8" i="81"/>
  <c r="N7" i="81"/>
  <c r="G7" i="81"/>
  <c r="N6" i="81"/>
  <c r="G6" i="81"/>
  <c r="N5" i="81"/>
  <c r="G5" i="81"/>
  <c r="G17" i="80"/>
  <c r="D145" i="2" l="1"/>
  <c r="L24" i="82" l="1"/>
  <c r="M24" i="82" s="1"/>
  <c r="L26" i="82"/>
  <c r="K26" i="82" s="1"/>
  <c r="L25" i="82"/>
  <c r="M25" i="82" s="1"/>
  <c r="L23" i="82"/>
  <c r="M23" i="82" s="1"/>
  <c r="L22" i="82"/>
  <c r="M22" i="82" s="1"/>
  <c r="L21" i="82"/>
  <c r="M21" i="82" s="1"/>
  <c r="I87" i="74"/>
  <c r="I52" i="74"/>
  <c r="O21" i="86" l="1"/>
  <c r="O22" i="86" s="1"/>
  <c r="O23" i="86" s="1"/>
  <c r="O24" i="86" s="1"/>
  <c r="O21" i="82"/>
  <c r="O22" i="82" s="1"/>
  <c r="O23" i="82" s="1"/>
  <c r="O24" i="82" s="1"/>
  <c r="O25" i="82" s="1"/>
  <c r="O26" i="82" s="1"/>
  <c r="S21" i="82"/>
  <c r="S22" i="82" s="1"/>
  <c r="S23" i="82" s="1"/>
  <c r="S24" i="82" s="1"/>
  <c r="S25" i="82" s="1"/>
  <c r="S26" i="82" s="1"/>
  <c r="K27" i="82"/>
  <c r="M27" i="82" s="1"/>
  <c r="S27" i="82" s="1"/>
  <c r="S28" i="82" s="1"/>
  <c r="S29" i="82" s="1"/>
  <c r="S30" i="82" s="1"/>
  <c r="S31" i="82" s="1"/>
  <c r="S32" i="82" s="1"/>
  <c r="S33" i="82" s="1"/>
  <c r="S34" i="82" s="1"/>
  <c r="S35" i="82" s="1"/>
  <c r="S36" i="82" s="1"/>
  <c r="S37" i="82" s="1"/>
  <c r="S38" i="82" s="1"/>
  <c r="S39" i="82" s="1"/>
  <c r="S40" i="82" s="1"/>
  <c r="S41" i="82" s="1"/>
  <c r="S42" i="82" s="1"/>
  <c r="S43" i="82" s="1"/>
  <c r="S44" i="82" s="1"/>
  <c r="S45" i="82" s="1"/>
  <c r="S46" i="82" s="1"/>
  <c r="S47" i="82" s="1"/>
  <c r="S48" i="82" s="1"/>
  <c r="S49" i="82" s="1"/>
  <c r="S50" i="82" s="1"/>
  <c r="S51" i="82" s="1"/>
  <c r="S52" i="82" s="1"/>
  <c r="S53" i="82" s="1"/>
  <c r="S54" i="82" s="1"/>
  <c r="S55" i="82" s="1"/>
  <c r="S56" i="82" s="1"/>
  <c r="S57" i="82" s="1"/>
  <c r="S58" i="82" s="1"/>
  <c r="S59" i="82" s="1"/>
  <c r="S60" i="82" s="1"/>
  <c r="S61" i="82" s="1"/>
  <c r="S62" i="82" s="1"/>
  <c r="S63" i="82" s="1"/>
  <c r="S64" i="82" s="1"/>
  <c r="S65" i="82" s="1"/>
  <c r="S66" i="82" s="1"/>
  <c r="S67" i="82" s="1"/>
  <c r="S68" i="82" s="1"/>
  <c r="S69" i="82" s="1"/>
  <c r="S70" i="82" s="1"/>
  <c r="S71" i="82" s="1"/>
  <c r="S72" i="82" s="1"/>
  <c r="S73" i="82" s="1"/>
  <c r="S74" i="82" s="1"/>
  <c r="S75" i="82" s="1"/>
  <c r="S76" i="82" s="1"/>
  <c r="S77" i="82" s="1"/>
  <c r="S78" i="82" s="1"/>
  <c r="S79" i="82" s="1"/>
  <c r="S80" i="82" s="1"/>
  <c r="S81" i="82" s="1"/>
  <c r="S82" i="82" s="1"/>
  <c r="S83" i="82" s="1"/>
  <c r="S84" i="82" s="1"/>
  <c r="S85" i="82" s="1"/>
  <c r="S86" i="82" s="1"/>
  <c r="S87" i="82" s="1"/>
  <c r="S88" i="82" s="1"/>
  <c r="S89" i="82" s="1"/>
  <c r="S90" i="82" s="1"/>
  <c r="S91" i="82" s="1"/>
  <c r="S92" i="82" s="1"/>
  <c r="S93" i="82" s="1"/>
  <c r="S94" i="82" s="1"/>
  <c r="S95" i="82" s="1"/>
  <c r="N26" i="82"/>
  <c r="K15" i="82"/>
  <c r="M15" i="82"/>
  <c r="H30" i="68"/>
  <c r="H29" i="68"/>
  <c r="S22" i="86" l="1"/>
  <c r="S23" i="86" s="1"/>
  <c r="S24" i="86" s="1"/>
  <c r="N27" i="82"/>
  <c r="N28" i="82" s="1"/>
  <c r="N29" i="82" s="1"/>
  <c r="N30" i="82" s="1"/>
  <c r="N31" i="82" s="1"/>
  <c r="N32" i="82" s="1"/>
  <c r="N33" i="82" s="1"/>
  <c r="N34" i="82" s="1"/>
  <c r="N35" i="82" s="1"/>
  <c r="N36" i="82" s="1"/>
  <c r="N37" i="82" s="1"/>
  <c r="N38" i="82" s="1"/>
  <c r="N39" i="82" s="1"/>
  <c r="N40" i="82" s="1"/>
  <c r="N41" i="82" s="1"/>
  <c r="N42" i="82" s="1"/>
  <c r="N43" i="82" s="1"/>
  <c r="N44" i="82" s="1"/>
  <c r="N45" i="82" s="1"/>
  <c r="N46" i="82" s="1"/>
  <c r="N47" i="82" s="1"/>
  <c r="N48" i="82" s="1"/>
  <c r="N49" i="82" s="1"/>
  <c r="N50" i="82" s="1"/>
  <c r="N51" i="82" s="1"/>
  <c r="N52" i="82" s="1"/>
  <c r="N53" i="82" s="1"/>
  <c r="N54" i="82" s="1"/>
  <c r="N55" i="82" s="1"/>
  <c r="N56" i="82" s="1"/>
  <c r="N57" i="82" s="1"/>
  <c r="N58" i="82" s="1"/>
  <c r="N59" i="82" s="1"/>
  <c r="N60" i="82" s="1"/>
  <c r="N61" i="82" s="1"/>
  <c r="N62" i="82" s="1"/>
  <c r="N63" i="82" s="1"/>
  <c r="N64" i="82" s="1"/>
  <c r="N65" i="82" s="1"/>
  <c r="N66" i="82" s="1"/>
  <c r="N67" i="82" s="1"/>
  <c r="N68" i="82" s="1"/>
  <c r="N69" i="82" s="1"/>
  <c r="N70" i="82" s="1"/>
  <c r="N71" i="82" s="1"/>
  <c r="N72" i="82" s="1"/>
  <c r="N73" i="82" s="1"/>
  <c r="N74" i="82" s="1"/>
  <c r="N75" i="82" s="1"/>
  <c r="N76" i="82" s="1"/>
  <c r="N77" i="82" s="1"/>
  <c r="N78" i="82" s="1"/>
  <c r="N79" i="82" s="1"/>
  <c r="N80" i="82" s="1"/>
  <c r="N81" i="82" s="1"/>
  <c r="N82" i="82" s="1"/>
  <c r="N83" i="82" s="1"/>
  <c r="N84" i="82" s="1"/>
  <c r="N85" i="82" s="1"/>
  <c r="N86" i="82" s="1"/>
  <c r="N87" i="82" s="1"/>
  <c r="N88" i="82" s="1"/>
  <c r="N89" i="82" s="1"/>
  <c r="N90" i="82" s="1"/>
  <c r="N91" i="82" s="1"/>
  <c r="N92" i="82" s="1"/>
  <c r="N93" i="82" s="1"/>
  <c r="N94" i="82" s="1"/>
  <c r="N95" i="82" s="1"/>
  <c r="S96" i="82"/>
  <c r="O27" i="82"/>
  <c r="O28" i="82" s="1"/>
  <c r="O29" i="82" s="1"/>
  <c r="O30" i="82" s="1"/>
  <c r="O31" i="82" s="1"/>
  <c r="O32" i="82" s="1"/>
  <c r="O33" i="82" s="1"/>
  <c r="O34" i="82" s="1"/>
  <c r="O35" i="82" s="1"/>
  <c r="O36" i="82" s="1"/>
  <c r="O37" i="82" s="1"/>
  <c r="O38" i="82" s="1"/>
  <c r="O39" i="82" s="1"/>
  <c r="O40" i="82" s="1"/>
  <c r="O41" i="82" s="1"/>
  <c r="O42" i="82" s="1"/>
  <c r="O43" i="82" s="1"/>
  <c r="O44" i="82" s="1"/>
  <c r="O45" i="82" s="1"/>
  <c r="O46" i="82" s="1"/>
  <c r="O47" i="82" s="1"/>
  <c r="O48" i="82" s="1"/>
  <c r="O49" i="82" s="1"/>
  <c r="O50" i="82" s="1"/>
  <c r="O51" i="82" s="1"/>
  <c r="O52" i="82" s="1"/>
  <c r="O53" i="82" s="1"/>
  <c r="O54" i="82" s="1"/>
  <c r="O55" i="82" s="1"/>
  <c r="O56" i="82" s="1"/>
  <c r="O57" i="82" s="1"/>
  <c r="O58" i="82" s="1"/>
  <c r="O59" i="82" s="1"/>
  <c r="O60" i="82" s="1"/>
  <c r="O61" i="82" s="1"/>
  <c r="O62" i="82" s="1"/>
  <c r="O63" i="82" s="1"/>
  <c r="O64" i="82" s="1"/>
  <c r="O65" i="82" s="1"/>
  <c r="O66" i="82" s="1"/>
  <c r="O67" i="82" s="1"/>
  <c r="O68" i="82" s="1"/>
  <c r="O69" i="82" s="1"/>
  <c r="O70" i="82" s="1"/>
  <c r="O71" i="82" s="1"/>
  <c r="O72" i="82" s="1"/>
  <c r="O73" i="82" s="1"/>
  <c r="O74" i="82" s="1"/>
  <c r="O75" i="82" s="1"/>
  <c r="O76" i="82" s="1"/>
  <c r="O77" i="82" s="1"/>
  <c r="O78" i="82" s="1"/>
  <c r="O79" i="82" s="1"/>
  <c r="O80" i="82" s="1"/>
  <c r="O81" i="82" s="1"/>
  <c r="O82" i="82" s="1"/>
  <c r="O83" i="82" s="1"/>
  <c r="O84" i="82" s="1"/>
  <c r="O85" i="82" s="1"/>
  <c r="O86" i="82" s="1"/>
  <c r="O87" i="82" s="1"/>
  <c r="O88" i="82" s="1"/>
  <c r="O89" i="82" s="1"/>
  <c r="O90" i="82" s="1"/>
  <c r="O91" i="82" s="1"/>
  <c r="O92" i="82" s="1"/>
  <c r="O93" i="82" s="1"/>
  <c r="O94" i="82" s="1"/>
  <c r="O95" i="82" s="1"/>
  <c r="D138" i="2"/>
  <c r="K20" i="74"/>
  <c r="K21" i="74" s="1"/>
  <c r="K22" i="74" s="1"/>
  <c r="K23" i="74" s="1"/>
  <c r="K24" i="74" s="1"/>
  <c r="K25" i="74" s="1"/>
  <c r="K26" i="74" s="1"/>
  <c r="K27" i="74" s="1"/>
  <c r="K28" i="74" s="1"/>
  <c r="K29" i="74" s="1"/>
  <c r="K30" i="74" s="1"/>
  <c r="K31" i="74" s="1"/>
  <c r="K32" i="74" s="1"/>
  <c r="K33" i="74" s="1"/>
  <c r="K34" i="74" s="1"/>
  <c r="K35" i="74" s="1"/>
  <c r="K36" i="74" s="1"/>
  <c r="K37" i="74" s="1"/>
  <c r="K38" i="74" s="1"/>
  <c r="K39" i="74" s="1"/>
  <c r="K40" i="74" s="1"/>
  <c r="K41" i="74" s="1"/>
  <c r="K42" i="74" s="1"/>
  <c r="K43" i="74" s="1"/>
  <c r="K44" i="74" s="1"/>
  <c r="K45" i="74" s="1"/>
  <c r="K46" i="74" s="1"/>
  <c r="K47" i="74" s="1"/>
  <c r="K48" i="74" s="1"/>
  <c r="K49" i="74" s="1"/>
  <c r="K50" i="74" s="1"/>
  <c r="K51" i="74" s="1"/>
  <c r="K52" i="74" s="1"/>
  <c r="K53" i="74" s="1"/>
  <c r="K54" i="74" s="1"/>
  <c r="K55" i="74" s="1"/>
  <c r="K56" i="74" s="1"/>
  <c r="K57" i="74" s="1"/>
  <c r="K58" i="74" s="1"/>
  <c r="K59" i="74" s="1"/>
  <c r="K60" i="74" s="1"/>
  <c r="K61" i="74" s="1"/>
  <c r="K62" i="74" s="1"/>
  <c r="K63" i="74" s="1"/>
  <c r="K64" i="74" s="1"/>
  <c r="K65" i="74" s="1"/>
  <c r="K66" i="74" s="1"/>
  <c r="K67" i="74" s="1"/>
  <c r="K68" i="74" s="1"/>
  <c r="K69" i="74" s="1"/>
  <c r="K70" i="74" s="1"/>
  <c r="K71" i="74" s="1"/>
  <c r="K72" i="74" s="1"/>
  <c r="K73" i="74" s="1"/>
  <c r="K74" i="74" s="1"/>
  <c r="K75" i="74" s="1"/>
  <c r="K76" i="74" s="1"/>
  <c r="K77" i="74" s="1"/>
  <c r="K78" i="74" s="1"/>
  <c r="K79" i="74" s="1"/>
  <c r="K80" i="74" s="1"/>
  <c r="K81" i="74" s="1"/>
  <c r="K82" i="74" s="1"/>
  <c r="K83" i="74" s="1"/>
  <c r="K84" i="74" s="1"/>
  <c r="K85" i="74" s="1"/>
  <c r="K86" i="74" s="1"/>
  <c r="K87" i="74" s="1"/>
  <c r="K88" i="74" s="1"/>
  <c r="K89" i="74" s="1"/>
  <c r="K90" i="74" s="1"/>
  <c r="K91" i="74" s="1"/>
  <c r="K92" i="74" s="1"/>
  <c r="K93" i="74" s="1"/>
  <c r="K94" i="74" s="1"/>
  <c r="K95" i="74" s="1"/>
  <c r="K96" i="74" s="1"/>
  <c r="K97" i="74" s="1"/>
  <c r="M14" i="74"/>
  <c r="K12" i="74"/>
  <c r="E12" i="74"/>
  <c r="L11" i="74"/>
  <c r="R10" i="74"/>
  <c r="L10" i="74"/>
  <c r="R9" i="74"/>
  <c r="L9" i="74"/>
  <c r="R8" i="74"/>
  <c r="L8" i="74"/>
  <c r="R7" i="74"/>
  <c r="L7" i="74"/>
  <c r="R6" i="74"/>
  <c r="L6" i="74"/>
  <c r="R5" i="74"/>
  <c r="L5" i="74"/>
  <c r="L4" i="74"/>
  <c r="K22" i="68"/>
  <c r="L11" i="70"/>
  <c r="L10" i="70"/>
  <c r="L9" i="70"/>
  <c r="L8" i="70"/>
  <c r="L7" i="70"/>
  <c r="L6" i="70"/>
  <c r="L5" i="70"/>
  <c r="L4" i="70"/>
  <c r="E12" i="70"/>
  <c r="L12" i="70" s="1"/>
  <c r="C12" i="70"/>
  <c r="K20" i="70"/>
  <c r="K21" i="70" s="1"/>
  <c r="K22" i="70" s="1"/>
  <c r="K23" i="70" s="1"/>
  <c r="K24" i="70" s="1"/>
  <c r="K25" i="70" s="1"/>
  <c r="K26" i="70" s="1"/>
  <c r="K27" i="70" s="1"/>
  <c r="K28" i="70" s="1"/>
  <c r="K29" i="70" s="1"/>
  <c r="K30" i="70" s="1"/>
  <c r="K31" i="70" s="1"/>
  <c r="K32" i="70" s="1"/>
  <c r="K33" i="70" s="1"/>
  <c r="K34" i="70" s="1"/>
  <c r="K35" i="70" s="1"/>
  <c r="K36" i="70" s="1"/>
  <c r="K37" i="70" s="1"/>
  <c r="K38" i="70" s="1"/>
  <c r="K39" i="70" s="1"/>
  <c r="K40" i="70" s="1"/>
  <c r="K41" i="70" s="1"/>
  <c r="K42" i="70" s="1"/>
  <c r="K43" i="70" s="1"/>
  <c r="K44" i="70" s="1"/>
  <c r="K45" i="70" s="1"/>
  <c r="K46" i="70" s="1"/>
  <c r="K47" i="70" s="1"/>
  <c r="K48" i="70" s="1"/>
  <c r="K49" i="70" s="1"/>
  <c r="K50" i="70" s="1"/>
  <c r="K51" i="70" s="1"/>
  <c r="K52" i="70" s="1"/>
  <c r="K53" i="70" s="1"/>
  <c r="K54" i="70" s="1"/>
  <c r="K55" i="70" s="1"/>
  <c r="K56" i="70" s="1"/>
  <c r="K57" i="70" s="1"/>
  <c r="K58" i="70" s="1"/>
  <c r="K59" i="70" s="1"/>
  <c r="K60" i="70" s="1"/>
  <c r="K61" i="70" s="1"/>
  <c r="K62" i="70" s="1"/>
  <c r="K63" i="70" s="1"/>
  <c r="K64" i="70" s="1"/>
  <c r="K65" i="70" s="1"/>
  <c r="K66" i="70" s="1"/>
  <c r="K67" i="70" s="1"/>
  <c r="K68" i="70" s="1"/>
  <c r="K69" i="70" s="1"/>
  <c r="K70" i="70" s="1"/>
  <c r="K71" i="70" s="1"/>
  <c r="K72" i="70" s="1"/>
  <c r="K73" i="70" s="1"/>
  <c r="K74" i="70" s="1"/>
  <c r="K75" i="70" s="1"/>
  <c r="K76" i="70" s="1"/>
  <c r="K77" i="70" s="1"/>
  <c r="K78" i="70" s="1"/>
  <c r="K79" i="70" s="1"/>
  <c r="D132" i="2"/>
  <c r="F19" i="73"/>
  <c r="G20" i="72"/>
  <c r="G19" i="72"/>
  <c r="G18" i="72"/>
  <c r="G17" i="72"/>
  <c r="G16" i="72"/>
  <c r="G15" i="72"/>
  <c r="G14" i="72"/>
  <c r="G13" i="72"/>
  <c r="G12" i="72"/>
  <c r="G11" i="72"/>
  <c r="G10" i="72"/>
  <c r="G9" i="72"/>
  <c r="G8" i="72"/>
  <c r="G7" i="72"/>
  <c r="G6" i="72"/>
  <c r="G5" i="72"/>
  <c r="G21" i="72" s="1"/>
  <c r="J112" i="74" l="1"/>
  <c r="J100" i="74"/>
  <c r="J111" i="74"/>
  <c r="J110" i="74"/>
  <c r="J107" i="74"/>
  <c r="J109" i="74"/>
  <c r="J106" i="74"/>
  <c r="J108" i="74"/>
  <c r="J119" i="74"/>
  <c r="J113" i="74"/>
  <c r="J101" i="74"/>
  <c r="J118" i="74"/>
  <c r="J105" i="74"/>
  <c r="J117" i="74"/>
  <c r="J104" i="74"/>
  <c r="J115" i="74"/>
  <c r="J103" i="74"/>
  <c r="J114" i="74"/>
  <c r="J102" i="74"/>
  <c r="J89" i="70"/>
  <c r="I98" i="74"/>
  <c r="J97" i="74"/>
  <c r="J85" i="74"/>
  <c r="J73" i="74"/>
  <c r="J61" i="74"/>
  <c r="J48" i="74"/>
  <c r="J36" i="74"/>
  <c r="J96" i="74"/>
  <c r="J84" i="74"/>
  <c r="J72" i="74"/>
  <c r="J60" i="74"/>
  <c r="J47" i="74"/>
  <c r="J95" i="74"/>
  <c r="J83" i="74"/>
  <c r="J71" i="74"/>
  <c r="J59" i="74"/>
  <c r="J46" i="74"/>
  <c r="J79" i="74"/>
  <c r="J51" i="74"/>
  <c r="J86" i="74"/>
  <c r="J94" i="74"/>
  <c r="J82" i="74"/>
  <c r="J70" i="74"/>
  <c r="J58" i="74"/>
  <c r="J45" i="74"/>
  <c r="J44" i="74"/>
  <c r="J42" i="74"/>
  <c r="J40" i="74"/>
  <c r="J50" i="74"/>
  <c r="J93" i="74"/>
  <c r="J81" i="74"/>
  <c r="J69" i="74"/>
  <c r="J57" i="74"/>
  <c r="J67" i="74"/>
  <c r="J64" i="74"/>
  <c r="J92" i="74"/>
  <c r="J80" i="74"/>
  <c r="J68" i="74"/>
  <c r="J56" i="74"/>
  <c r="J43" i="74"/>
  <c r="J91" i="74"/>
  <c r="J55" i="74"/>
  <c r="J39" i="74"/>
  <c r="J52" i="74"/>
  <c r="J49" i="74"/>
  <c r="J90" i="74"/>
  <c r="J78" i="74"/>
  <c r="J66" i="74"/>
  <c r="J54" i="74"/>
  <c r="J41" i="74"/>
  <c r="J77" i="74"/>
  <c r="J65" i="74"/>
  <c r="J53" i="74"/>
  <c r="J38" i="74"/>
  <c r="J37" i="74"/>
  <c r="J89" i="74"/>
  <c r="J62" i="74"/>
  <c r="J88" i="74"/>
  <c r="J76" i="74"/>
  <c r="J74" i="74"/>
  <c r="J87" i="74"/>
  <c r="J75" i="74"/>
  <c r="J63" i="74"/>
  <c r="J34" i="74"/>
  <c r="J22" i="74"/>
  <c r="J33" i="74"/>
  <c r="J29" i="74"/>
  <c r="J25" i="74"/>
  <c r="J32" i="74"/>
  <c r="J30" i="74"/>
  <c r="J28" i="74"/>
  <c r="J26" i="74"/>
  <c r="J31" i="74"/>
  <c r="J23" i="74"/>
  <c r="J27" i="74"/>
  <c r="J24" i="74"/>
  <c r="J35" i="74"/>
  <c r="E13" i="74"/>
  <c r="E14" i="74" s="1"/>
  <c r="L12" i="74"/>
  <c r="J90" i="70"/>
  <c r="J91" i="70"/>
  <c r="J96" i="70"/>
  <c r="J84" i="70"/>
  <c r="J92" i="70"/>
  <c r="J93" i="70"/>
  <c r="J82" i="70"/>
  <c r="J94" i="70"/>
  <c r="J83" i="70"/>
  <c r="J95" i="70"/>
  <c r="J97" i="70"/>
  <c r="J86" i="70"/>
  <c r="J98" i="70"/>
  <c r="J85" i="70"/>
  <c r="J87" i="70"/>
  <c r="J99" i="70"/>
  <c r="J88" i="70"/>
  <c r="I99" i="74" l="1"/>
  <c r="J99" i="74" s="1"/>
  <c r="N99" i="74" s="1"/>
  <c r="N100" i="74" s="1"/>
  <c r="N101" i="74" s="1"/>
  <c r="N102" i="74" s="1"/>
  <c r="N103" i="74" s="1"/>
  <c r="N104" i="74" s="1"/>
  <c r="N105" i="74" s="1"/>
  <c r="N106" i="74" s="1"/>
  <c r="N107" i="74" s="1"/>
  <c r="N108" i="74" s="1"/>
  <c r="N109" i="74" s="1"/>
  <c r="N110" i="74" s="1"/>
  <c r="N111" i="74" s="1"/>
  <c r="N112" i="74" s="1"/>
  <c r="N113" i="74" s="1"/>
  <c r="N114" i="74" s="1"/>
  <c r="N115" i="74" s="1"/>
  <c r="N116" i="74" s="1"/>
  <c r="N117" i="74" s="1"/>
  <c r="I16" i="74"/>
  <c r="K98" i="74"/>
  <c r="M14" i="70"/>
  <c r="K12" i="70"/>
  <c r="R10" i="70"/>
  <c r="R9" i="70"/>
  <c r="R8" i="70"/>
  <c r="R7" i="70"/>
  <c r="R6" i="70"/>
  <c r="R5" i="70"/>
  <c r="E12" i="68"/>
  <c r="D12" i="68"/>
  <c r="C12" i="68"/>
  <c r="K99" i="74" l="1"/>
  <c r="K100" i="74" s="1"/>
  <c r="K101" i="74" s="1"/>
  <c r="K102" i="74" s="1"/>
  <c r="K103" i="74" s="1"/>
  <c r="K104" i="74" s="1"/>
  <c r="K105" i="74" s="1"/>
  <c r="K106" i="74" s="1"/>
  <c r="K107" i="74" s="1"/>
  <c r="K108" i="74" s="1"/>
  <c r="K109" i="74" s="1"/>
  <c r="K110" i="74" s="1"/>
  <c r="K111" i="74" s="1"/>
  <c r="K112" i="74" s="1"/>
  <c r="K113" i="74" s="1"/>
  <c r="K114" i="74" s="1"/>
  <c r="K115" i="74" s="1"/>
  <c r="K116" i="74" s="1"/>
  <c r="K117" i="74" s="1"/>
  <c r="K118" i="74" s="1"/>
  <c r="K119" i="74" s="1"/>
  <c r="E13" i="70"/>
  <c r="G19" i="64" l="1"/>
  <c r="G18" i="64"/>
  <c r="G17" i="64"/>
  <c r="G16" i="64"/>
  <c r="G15" i="64"/>
  <c r="G14" i="64"/>
  <c r="G13" i="64"/>
  <c r="G12" i="64"/>
  <c r="G11" i="64"/>
  <c r="G10" i="64"/>
  <c r="G9" i="64"/>
  <c r="G8" i="64"/>
  <c r="G7" i="64"/>
  <c r="G6" i="64"/>
  <c r="D127" i="2" l="1"/>
  <c r="J20" i="74" l="1"/>
  <c r="J16" i="74" s="1"/>
  <c r="N22" i="74"/>
  <c r="N23" i="74" s="1"/>
  <c r="N24" i="74" s="1"/>
  <c r="N25" i="74" s="1"/>
  <c r="N26" i="74" s="1"/>
  <c r="N27" i="74" s="1"/>
  <c r="N28" i="74" s="1"/>
  <c r="N29" i="74" s="1"/>
  <c r="N30" i="74" s="1"/>
  <c r="N31" i="74" s="1"/>
  <c r="N32" i="74" s="1"/>
  <c r="N33" i="74" s="1"/>
  <c r="N34" i="74" s="1"/>
  <c r="N35" i="74" s="1"/>
  <c r="N36" i="74" s="1"/>
  <c r="N37" i="74" s="1"/>
  <c r="N38" i="74" s="1"/>
  <c r="N39" i="74" s="1"/>
  <c r="N40" i="74" s="1"/>
  <c r="N41" i="74" s="1"/>
  <c r="N42" i="74" s="1"/>
  <c r="N43" i="74" s="1"/>
  <c r="N44" i="74" s="1"/>
  <c r="N45" i="74" s="1"/>
  <c r="N46" i="74" s="1"/>
  <c r="N47" i="74" s="1"/>
  <c r="N48" i="74" s="1"/>
  <c r="N49" i="74" s="1"/>
  <c r="N50" i="74" s="1"/>
  <c r="N51" i="74" s="1"/>
  <c r="N52" i="74" s="1"/>
  <c r="N53" i="74" s="1"/>
  <c r="N54" i="74" s="1"/>
  <c r="N55" i="74" s="1"/>
  <c r="N56" i="74" s="1"/>
  <c r="N57" i="74" s="1"/>
  <c r="N58" i="74" s="1"/>
  <c r="N59" i="74" s="1"/>
  <c r="N60" i="74" s="1"/>
  <c r="N61" i="74" s="1"/>
  <c r="N62" i="74" s="1"/>
  <c r="N63" i="74" s="1"/>
  <c r="N64" i="74" s="1"/>
  <c r="N65" i="74" s="1"/>
  <c r="N66" i="74" s="1"/>
  <c r="N67" i="74" s="1"/>
  <c r="N68" i="74" s="1"/>
  <c r="N69" i="74" s="1"/>
  <c r="N70" i="74" s="1"/>
  <c r="N71" i="74" s="1"/>
  <c r="N72" i="74" s="1"/>
  <c r="N73" i="74" s="1"/>
  <c r="N74" i="74" s="1"/>
  <c r="N75" i="74" s="1"/>
  <c r="N76" i="74" s="1"/>
  <c r="N77" i="74" s="1"/>
  <c r="N78" i="74" s="1"/>
  <c r="N79" i="74" s="1"/>
  <c r="N80" i="74" s="1"/>
  <c r="N81" i="74" s="1"/>
  <c r="N82" i="74" s="1"/>
  <c r="N83" i="74" s="1"/>
  <c r="N84" i="74" s="1"/>
  <c r="N85" i="74" s="1"/>
  <c r="N86" i="74" s="1"/>
  <c r="N87" i="74" s="1"/>
  <c r="N88" i="74" s="1"/>
  <c r="N89" i="74" s="1"/>
  <c r="N90" i="74" s="1"/>
  <c r="N91" i="74" s="1"/>
  <c r="N92" i="74" s="1"/>
  <c r="N93" i="74" s="1"/>
  <c r="N94" i="74" s="1"/>
  <c r="N95" i="74" s="1"/>
  <c r="N96" i="74" s="1"/>
  <c r="N97" i="74" s="1"/>
  <c r="N98" i="74" s="1"/>
  <c r="J75" i="70"/>
  <c r="J63" i="70"/>
  <c r="J51" i="70"/>
  <c r="J39" i="70"/>
  <c r="J27" i="70"/>
  <c r="J59" i="70"/>
  <c r="J23" i="70"/>
  <c r="J58" i="70"/>
  <c r="J65" i="70"/>
  <c r="J64" i="70"/>
  <c r="J74" i="70"/>
  <c r="J62" i="70"/>
  <c r="J50" i="70"/>
  <c r="J38" i="70"/>
  <c r="J26" i="70"/>
  <c r="J71" i="70"/>
  <c r="J35" i="70"/>
  <c r="J28" i="70"/>
  <c r="J73" i="70"/>
  <c r="J61" i="70"/>
  <c r="J49" i="70"/>
  <c r="J37" i="70"/>
  <c r="J25" i="70"/>
  <c r="J47" i="70"/>
  <c r="J70" i="70"/>
  <c r="J46" i="70"/>
  <c r="J34" i="70"/>
  <c r="J53" i="70"/>
  <c r="J76" i="70"/>
  <c r="J72" i="70"/>
  <c r="J60" i="70"/>
  <c r="J48" i="70"/>
  <c r="J36" i="70"/>
  <c r="J24" i="70"/>
  <c r="J29" i="70"/>
  <c r="J69" i="70"/>
  <c r="J57" i="70"/>
  <c r="J45" i="70"/>
  <c r="J33" i="70"/>
  <c r="J66" i="70"/>
  <c r="J41" i="70"/>
  <c r="J52" i="70"/>
  <c r="J68" i="70"/>
  <c r="J56" i="70"/>
  <c r="J44" i="70"/>
  <c r="J32" i="70"/>
  <c r="J42" i="70"/>
  <c r="J77" i="70"/>
  <c r="J40" i="70"/>
  <c r="J79" i="70"/>
  <c r="J67" i="70"/>
  <c r="J43" i="70"/>
  <c r="J31" i="70"/>
  <c r="J78" i="70"/>
  <c r="J54" i="70"/>
  <c r="J30" i="70"/>
  <c r="J42" i="68"/>
  <c r="J22" i="70"/>
  <c r="N22" i="70" s="1"/>
  <c r="J20" i="70"/>
  <c r="L20" i="70" s="1"/>
  <c r="L21" i="70" s="1"/>
  <c r="J66" i="68"/>
  <c r="J91" i="68"/>
  <c r="J55" i="68"/>
  <c r="J79" i="68"/>
  <c r="J44" i="68"/>
  <c r="J56" i="68"/>
  <c r="J68" i="68"/>
  <c r="J80" i="68"/>
  <c r="J54" i="68"/>
  <c r="J78" i="68"/>
  <c r="J43" i="68"/>
  <c r="J67" i="68"/>
  <c r="J92" i="68"/>
  <c r="J45" i="68"/>
  <c r="J57" i="68"/>
  <c r="J69" i="68"/>
  <c r="J81" i="68"/>
  <c r="J47" i="68"/>
  <c r="J59" i="68"/>
  <c r="J71" i="68"/>
  <c r="J84" i="68"/>
  <c r="J36" i="68"/>
  <c r="J48" i="68"/>
  <c r="J60" i="68"/>
  <c r="J72" i="68"/>
  <c r="J85" i="68"/>
  <c r="J58" i="68"/>
  <c r="J49" i="68"/>
  <c r="J61" i="68"/>
  <c r="J73" i="68"/>
  <c r="J86" i="68"/>
  <c r="J46" i="68"/>
  <c r="J35" i="68"/>
  <c r="J38" i="68"/>
  <c r="J87" i="68"/>
  <c r="J39" i="68"/>
  <c r="J51" i="68"/>
  <c r="J63" i="68"/>
  <c r="J75" i="68"/>
  <c r="J88" i="68"/>
  <c r="J83" i="68"/>
  <c r="J74" i="68"/>
  <c r="J40" i="68"/>
  <c r="J52" i="68"/>
  <c r="J64" i="68"/>
  <c r="J76" i="68"/>
  <c r="J89" i="68"/>
  <c r="J70" i="68"/>
  <c r="J37" i="68"/>
  <c r="J50" i="68"/>
  <c r="J62" i="68"/>
  <c r="J41" i="68"/>
  <c r="J53" i="68"/>
  <c r="J65" i="68"/>
  <c r="J77" i="68"/>
  <c r="J90" i="68"/>
  <c r="I82" i="68" a="1"/>
  <c r="I82" i="68" s="1"/>
  <c r="J82" i="68" s="1"/>
  <c r="L20" i="74" l="1"/>
  <c r="L21" i="74" s="1"/>
  <c r="L22" i="74" s="1"/>
  <c r="L23" i="74" s="1"/>
  <c r="L24" i="74" s="1"/>
  <c r="L25" i="74" s="1"/>
  <c r="L26" i="74" s="1"/>
  <c r="L27" i="74" s="1"/>
  <c r="L28" i="74" s="1"/>
  <c r="L29" i="74" s="1"/>
  <c r="L30" i="74" s="1"/>
  <c r="L31" i="74" s="1"/>
  <c r="L32" i="74" s="1"/>
  <c r="L33" i="74" s="1"/>
  <c r="L34" i="74" s="1"/>
  <c r="L35" i="74" s="1"/>
  <c r="L36" i="74" s="1"/>
  <c r="L37" i="74" s="1"/>
  <c r="L38" i="74" s="1"/>
  <c r="L39" i="74" s="1"/>
  <c r="L40" i="74" s="1"/>
  <c r="L41" i="74" s="1"/>
  <c r="L42" i="74" s="1"/>
  <c r="L43" i="74" s="1"/>
  <c r="L44" i="74" s="1"/>
  <c r="L45" i="74" s="1"/>
  <c r="L46" i="74" s="1"/>
  <c r="L47" i="74" s="1"/>
  <c r="L48" i="74" s="1"/>
  <c r="L49" i="74" s="1"/>
  <c r="L50" i="74" s="1"/>
  <c r="L51" i="74" s="1"/>
  <c r="L52" i="74" s="1"/>
  <c r="L53" i="74" s="1"/>
  <c r="L54" i="74" s="1"/>
  <c r="L55" i="74" s="1"/>
  <c r="L56" i="74" s="1"/>
  <c r="L57" i="74" s="1"/>
  <c r="L58" i="74" s="1"/>
  <c r="L59" i="74" s="1"/>
  <c r="L60" i="74" s="1"/>
  <c r="L61" i="74" s="1"/>
  <c r="L62" i="74" s="1"/>
  <c r="L63" i="74" s="1"/>
  <c r="L64" i="74" s="1"/>
  <c r="L65" i="74" s="1"/>
  <c r="L66" i="74" s="1"/>
  <c r="L67" i="74" s="1"/>
  <c r="L68" i="74" s="1"/>
  <c r="L69" i="74" s="1"/>
  <c r="L70" i="74" s="1"/>
  <c r="L71" i="74" s="1"/>
  <c r="L72" i="74" s="1"/>
  <c r="L73" i="74" s="1"/>
  <c r="L74" i="74" s="1"/>
  <c r="L75" i="74" s="1"/>
  <c r="L76" i="74" s="1"/>
  <c r="L77" i="74" s="1"/>
  <c r="L78" i="74" s="1"/>
  <c r="L79" i="74" s="1"/>
  <c r="L80" i="74" s="1"/>
  <c r="L81" i="74" s="1"/>
  <c r="L82" i="74" s="1"/>
  <c r="L83" i="74" s="1"/>
  <c r="L84" i="74" s="1"/>
  <c r="L85" i="74" s="1"/>
  <c r="L86" i="74" s="1"/>
  <c r="L87" i="74" s="1"/>
  <c r="L88" i="74" s="1"/>
  <c r="L89" i="74" s="1"/>
  <c r="L90" i="74" s="1"/>
  <c r="L91" i="74" s="1"/>
  <c r="L92" i="74" s="1"/>
  <c r="L93" i="74" s="1"/>
  <c r="L94" i="74" s="1"/>
  <c r="L95" i="74" s="1"/>
  <c r="L96" i="74" s="1"/>
  <c r="L97" i="74" s="1"/>
  <c r="L98" i="74" s="1"/>
  <c r="L99" i="74" s="1"/>
  <c r="L100" i="74" s="1"/>
  <c r="L101" i="74" s="1"/>
  <c r="L102" i="74" s="1"/>
  <c r="L103" i="74" s="1"/>
  <c r="L104" i="74" s="1"/>
  <c r="L105" i="74" s="1"/>
  <c r="L106" i="74" s="1"/>
  <c r="L107" i="74" s="1"/>
  <c r="L108" i="74" s="1"/>
  <c r="L109" i="74" s="1"/>
  <c r="L110" i="74" s="1"/>
  <c r="L111" i="74" s="1"/>
  <c r="L112" i="74" s="1"/>
  <c r="L113" i="74" s="1"/>
  <c r="L114" i="74" s="1"/>
  <c r="L115" i="74" s="1"/>
  <c r="L116" i="74" s="1"/>
  <c r="L117" i="74" s="1"/>
  <c r="L118" i="74" s="1"/>
  <c r="L119" i="74" s="1"/>
  <c r="L22" i="70"/>
  <c r="L23" i="70" s="1"/>
  <c r="L24" i="70" s="1"/>
  <c r="L25" i="70" s="1"/>
  <c r="L26" i="70" s="1"/>
  <c r="L27" i="70" s="1"/>
  <c r="L28" i="70" s="1"/>
  <c r="L29" i="70" s="1"/>
  <c r="L30" i="70" s="1"/>
  <c r="L31" i="70" s="1"/>
  <c r="L32" i="70" s="1"/>
  <c r="L33" i="70" s="1"/>
  <c r="L34" i="70" s="1"/>
  <c r="L35" i="70" s="1"/>
  <c r="L36" i="70" s="1"/>
  <c r="L37" i="70" s="1"/>
  <c r="L38" i="70" s="1"/>
  <c r="L39" i="70" s="1"/>
  <c r="L40" i="70" s="1"/>
  <c r="L41" i="70" s="1"/>
  <c r="L42" i="70" s="1"/>
  <c r="L43" i="70" s="1"/>
  <c r="L44" i="70" s="1"/>
  <c r="L45" i="70" s="1"/>
  <c r="L46" i="70" s="1"/>
  <c r="L47" i="70" s="1"/>
  <c r="L48" i="70" s="1"/>
  <c r="L49" i="70" s="1"/>
  <c r="L50" i="70" s="1"/>
  <c r="L51" i="70" s="1"/>
  <c r="L52" i="70" s="1"/>
  <c r="L53" i="70" s="1"/>
  <c r="L54" i="70" s="1"/>
  <c r="L55" i="70" s="1"/>
  <c r="L56" i="70" s="1"/>
  <c r="L57" i="70" s="1"/>
  <c r="L58" i="70" s="1"/>
  <c r="L59" i="70" s="1"/>
  <c r="L60" i="70" s="1"/>
  <c r="L61" i="70" s="1"/>
  <c r="L62" i="70" s="1"/>
  <c r="L63" i="70" s="1"/>
  <c r="L64" i="70" s="1"/>
  <c r="L65" i="70" s="1"/>
  <c r="L66" i="70" s="1"/>
  <c r="L67" i="70" s="1"/>
  <c r="L68" i="70" s="1"/>
  <c r="L69" i="70" s="1"/>
  <c r="L70" i="70" s="1"/>
  <c r="L71" i="70" s="1"/>
  <c r="L72" i="70" s="1"/>
  <c r="L73" i="70" s="1"/>
  <c r="L74" i="70" s="1"/>
  <c r="L75" i="70" s="1"/>
  <c r="L76" i="70" s="1"/>
  <c r="L77" i="70" s="1"/>
  <c r="L78" i="70" s="1"/>
  <c r="L79" i="70" s="1"/>
  <c r="L80" i="70" s="1"/>
  <c r="N23" i="70"/>
  <c r="N24" i="70" s="1"/>
  <c r="N25" i="70" s="1"/>
  <c r="N26" i="70" s="1"/>
  <c r="N27" i="70" s="1"/>
  <c r="N28" i="70" s="1"/>
  <c r="N29" i="70" s="1"/>
  <c r="N30" i="70" s="1"/>
  <c r="N31" i="70" s="1"/>
  <c r="N32" i="70" s="1"/>
  <c r="N33" i="70" s="1"/>
  <c r="N34" i="70" s="1"/>
  <c r="N35" i="70" s="1"/>
  <c r="N36" i="70" s="1"/>
  <c r="N37" i="70" s="1"/>
  <c r="N38" i="70" s="1"/>
  <c r="N39" i="70" s="1"/>
  <c r="N40" i="70" s="1"/>
  <c r="N41" i="70" s="1"/>
  <c r="N42" i="70" s="1"/>
  <c r="N43" i="70" s="1"/>
  <c r="N44" i="70" s="1"/>
  <c r="N45" i="70" s="1"/>
  <c r="N46" i="70" s="1"/>
  <c r="N47" i="70" s="1"/>
  <c r="N48" i="70" s="1"/>
  <c r="N49" i="70" s="1"/>
  <c r="N50" i="70" s="1"/>
  <c r="N51" i="70" s="1"/>
  <c r="N52" i="70" s="1"/>
  <c r="N53" i="70" s="1"/>
  <c r="N54" i="70" s="1"/>
  <c r="N55" i="70" s="1"/>
  <c r="N56" i="70" s="1"/>
  <c r="N57" i="70" s="1"/>
  <c r="N58" i="70" s="1"/>
  <c r="N59" i="70" s="1"/>
  <c r="N60" i="70" s="1"/>
  <c r="N61" i="70" s="1"/>
  <c r="N62" i="70" s="1"/>
  <c r="N63" i="70" s="1"/>
  <c r="N64" i="70" s="1"/>
  <c r="N65" i="70" s="1"/>
  <c r="N66" i="70" s="1"/>
  <c r="N67" i="70" s="1"/>
  <c r="N68" i="70" s="1"/>
  <c r="N69" i="70" s="1"/>
  <c r="N70" i="70" s="1"/>
  <c r="N71" i="70" s="1"/>
  <c r="N72" i="70" s="1"/>
  <c r="N73" i="70" s="1"/>
  <c r="N74" i="70" s="1"/>
  <c r="N75" i="70" s="1"/>
  <c r="N76" i="70" s="1"/>
  <c r="N77" i="70" s="1"/>
  <c r="N78" i="70" s="1"/>
  <c r="N79" i="70" s="1"/>
  <c r="K20" i="68"/>
  <c r="K21" i="68" s="1"/>
  <c r="K23" i="68" s="1"/>
  <c r="K24" i="68" s="1"/>
  <c r="K25" i="68" s="1"/>
  <c r="K26" i="68" s="1"/>
  <c r="K27" i="68" s="1"/>
  <c r="K28" i="68" s="1"/>
  <c r="K29" i="68" s="1"/>
  <c r="K30" i="68" s="1"/>
  <c r="K31" i="68" s="1"/>
  <c r="K32" i="68" s="1"/>
  <c r="M14" i="68"/>
  <c r="K12" i="68"/>
  <c r="L11" i="68"/>
  <c r="R10" i="68"/>
  <c r="L10" i="68"/>
  <c r="R9" i="68"/>
  <c r="L9" i="68"/>
  <c r="R8" i="68"/>
  <c r="L8" i="68"/>
  <c r="R7" i="68"/>
  <c r="L7" i="68"/>
  <c r="R6" i="68"/>
  <c r="L6" i="68"/>
  <c r="R5" i="68"/>
  <c r="R10" i="63"/>
  <c r="R9" i="63"/>
  <c r="R8" i="63"/>
  <c r="R7" i="63"/>
  <c r="R6" i="63"/>
  <c r="R5" i="63"/>
  <c r="E13" i="68" l="1"/>
  <c r="D120" i="2" l="1"/>
  <c r="D116" i="2"/>
  <c r="I50" i="63" s="1"/>
  <c r="I51" i="63" s="1"/>
  <c r="Q12" i="63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E15" i="66" s="1"/>
  <c r="F19" i="64"/>
  <c r="E12" i="63"/>
  <c r="K20" i="63"/>
  <c r="K21" i="63" s="1"/>
  <c r="K22" i="63" s="1"/>
  <c r="K23" i="63" s="1"/>
  <c r="K24" i="63" s="1"/>
  <c r="K25" i="63" s="1"/>
  <c r="K26" i="63" s="1"/>
  <c r="K27" i="63" s="1"/>
  <c r="K28" i="63" s="1"/>
  <c r="K29" i="63" s="1"/>
  <c r="K30" i="63" s="1"/>
  <c r="K31" i="63" s="1"/>
  <c r="K32" i="63" s="1"/>
  <c r="K33" i="63" s="1"/>
  <c r="K34" i="63" s="1"/>
  <c r="K35" i="63" s="1"/>
  <c r="K36" i="63" s="1"/>
  <c r="K37" i="63" s="1"/>
  <c r="K38" i="63" s="1"/>
  <c r="K39" i="63" s="1"/>
  <c r="J51" i="63" l="1"/>
  <c r="N51" i="63" s="1"/>
  <c r="J89" i="63"/>
  <c r="J32" i="68"/>
  <c r="J23" i="68"/>
  <c r="J31" i="68"/>
  <c r="J30" i="68"/>
  <c r="J29" i="68"/>
  <c r="J28" i="68"/>
  <c r="J27" i="68"/>
  <c r="J26" i="68"/>
  <c r="J25" i="68"/>
  <c r="J24" i="68"/>
  <c r="J22" i="68"/>
  <c r="H22" i="68"/>
  <c r="J20" i="68"/>
  <c r="L20" i="68" s="1"/>
  <c r="L21" i="68" s="1"/>
  <c r="J121" i="63"/>
  <c r="J109" i="63"/>
  <c r="J97" i="63"/>
  <c r="J120" i="63"/>
  <c r="J108" i="63"/>
  <c r="J100" i="63"/>
  <c r="J119" i="63"/>
  <c r="J107" i="63"/>
  <c r="J98" i="63"/>
  <c r="J118" i="63"/>
  <c r="J106" i="63"/>
  <c r="J110" i="63"/>
  <c r="J117" i="63"/>
  <c r="J105" i="63"/>
  <c r="J116" i="63"/>
  <c r="J104" i="63"/>
  <c r="J112" i="63"/>
  <c r="J115" i="63"/>
  <c r="J103" i="63"/>
  <c r="J101" i="63"/>
  <c r="J114" i="63"/>
  <c r="J102" i="63"/>
  <c r="J113" i="63"/>
  <c r="J111" i="63"/>
  <c r="J99" i="63"/>
  <c r="J42" i="63"/>
  <c r="J43" i="63"/>
  <c r="J44" i="63"/>
  <c r="J83" i="63"/>
  <c r="J81" i="63"/>
  <c r="J68" i="63"/>
  <c r="J85" i="63"/>
  <c r="J45" i="63"/>
  <c r="J49" i="63"/>
  <c r="J69" i="63"/>
  <c r="J87" i="63"/>
  <c r="J54" i="63"/>
  <c r="J70" i="63"/>
  <c r="J90" i="63"/>
  <c r="J61" i="63"/>
  <c r="J82" i="63"/>
  <c r="J55" i="63"/>
  <c r="J71" i="63"/>
  <c r="J91" i="63"/>
  <c r="J63" i="63"/>
  <c r="J66" i="63"/>
  <c r="J56" i="63"/>
  <c r="J73" i="63"/>
  <c r="J92" i="63"/>
  <c r="J67" i="63"/>
  <c r="J57" i="63"/>
  <c r="J75" i="63"/>
  <c r="J93" i="63"/>
  <c r="J80" i="63"/>
  <c r="J58" i="63"/>
  <c r="J78" i="63"/>
  <c r="J95" i="63"/>
  <c r="J59" i="63"/>
  <c r="J79" i="63"/>
  <c r="J94" i="63"/>
  <c r="J48" i="63"/>
  <c r="J60" i="63"/>
  <c r="J72" i="63"/>
  <c r="J84" i="63"/>
  <c r="J96" i="63"/>
  <c r="J62" i="63"/>
  <c r="J74" i="63"/>
  <c r="J86" i="63"/>
  <c r="J52" i="63"/>
  <c r="J64" i="63"/>
  <c r="J76" i="63"/>
  <c r="J88" i="63"/>
  <c r="J53" i="63"/>
  <c r="J65" i="63"/>
  <c r="J77" i="63"/>
  <c r="M14" i="63"/>
  <c r="K12" i="63"/>
  <c r="J12" i="63"/>
  <c r="I12" i="63"/>
  <c r="L11" i="63"/>
  <c r="L10" i="63"/>
  <c r="L9" i="63"/>
  <c r="L8" i="63"/>
  <c r="L7" i="63"/>
  <c r="L6" i="63"/>
  <c r="N22" i="68" l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52" i="63"/>
  <c r="N53" i="63" s="1"/>
  <c r="N54" i="63" s="1"/>
  <c r="N55" i="63" s="1"/>
  <c r="N56" i="63" s="1"/>
  <c r="N57" i="63" s="1"/>
  <c r="N58" i="63" s="1"/>
  <c r="N59" i="63" s="1"/>
  <c r="N60" i="63" s="1"/>
  <c r="N61" i="63" s="1"/>
  <c r="N62" i="63" s="1"/>
  <c r="N63" i="63" s="1"/>
  <c r="N64" i="63" s="1"/>
  <c r="N65" i="63" s="1"/>
  <c r="N66" i="63" s="1"/>
  <c r="N67" i="63" s="1"/>
  <c r="N68" i="63" s="1"/>
  <c r="N69" i="63" s="1"/>
  <c r="N70" i="63" s="1"/>
  <c r="N71" i="63" s="1"/>
  <c r="N72" i="63" s="1"/>
  <c r="N73" i="63" s="1"/>
  <c r="N74" i="63" s="1"/>
  <c r="N75" i="63" s="1"/>
  <c r="N76" i="63" s="1"/>
  <c r="N77" i="63" s="1"/>
  <c r="N78" i="63" s="1"/>
  <c r="N79" i="63" s="1"/>
  <c r="N80" i="63" s="1"/>
  <c r="N81" i="63" s="1"/>
  <c r="N82" i="63" s="1"/>
  <c r="N83" i="63" s="1"/>
  <c r="N84" i="63" s="1"/>
  <c r="N85" i="63" s="1"/>
  <c r="N86" i="63" s="1"/>
  <c r="N87" i="63" s="1"/>
  <c r="N88" i="63" s="1"/>
  <c r="N89" i="63" s="1"/>
  <c r="N90" i="63" s="1"/>
  <c r="N91" i="63" s="1"/>
  <c r="N92" i="63" s="1"/>
  <c r="N93" i="63" s="1"/>
  <c r="N94" i="63" s="1"/>
  <c r="N95" i="63" s="1"/>
  <c r="N96" i="63" s="1"/>
  <c r="N97" i="63" s="1"/>
  <c r="N98" i="63" s="1"/>
  <c r="N99" i="63" s="1"/>
  <c r="N100" i="63" s="1"/>
  <c r="N101" i="63" s="1"/>
  <c r="N102" i="63" s="1"/>
  <c r="N103" i="63" s="1"/>
  <c r="N104" i="63" s="1"/>
  <c r="N105" i="63" s="1"/>
  <c r="N106" i="63" s="1"/>
  <c r="N107" i="63" s="1"/>
  <c r="N108" i="63" s="1"/>
  <c r="N109" i="63" s="1"/>
  <c r="N110" i="63" s="1"/>
  <c r="N111" i="63" s="1"/>
  <c r="N112" i="63" s="1"/>
  <c r="N113" i="63" s="1"/>
  <c r="N114" i="63" s="1"/>
  <c r="N115" i="63" s="1"/>
  <c r="N116" i="63" s="1"/>
  <c r="N117" i="63" s="1"/>
  <c r="N118" i="63" s="1"/>
  <c r="N119" i="63" s="1"/>
  <c r="N120" i="63" s="1"/>
  <c r="N121" i="63" s="1"/>
  <c r="L22" i="68"/>
  <c r="L23" i="68" s="1"/>
  <c r="L24" i="68" s="1"/>
  <c r="L25" i="68" s="1"/>
  <c r="L26" i="68" s="1"/>
  <c r="L27" i="68" s="1"/>
  <c r="L28" i="68" s="1"/>
  <c r="L29" i="68" s="1"/>
  <c r="L30" i="68" s="1"/>
  <c r="L31" i="68" s="1"/>
  <c r="L32" i="68" s="1"/>
  <c r="E13" i="63"/>
  <c r="K20" i="60"/>
  <c r="K21" i="60" s="1"/>
  <c r="K22" i="60" s="1"/>
  <c r="K23" i="60" s="1"/>
  <c r="K24" i="60" s="1"/>
  <c r="K25" i="60" s="1"/>
  <c r="K26" i="60" s="1"/>
  <c r="K27" i="60" s="1"/>
  <c r="K29" i="60" s="1"/>
  <c r="K28" i="60" s="1"/>
  <c r="K30" i="60" s="1"/>
  <c r="K31" i="60" s="1"/>
  <c r="K32" i="60" s="1"/>
  <c r="K33" i="60" s="1"/>
  <c r="K34" i="60" s="1"/>
  <c r="K35" i="60" s="1"/>
  <c r="K36" i="60" s="1"/>
  <c r="K37" i="60" s="1"/>
  <c r="K38" i="60" s="1"/>
  <c r="K39" i="60" s="1"/>
  <c r="K40" i="60" s="1"/>
  <c r="K41" i="60" s="1"/>
  <c r="K42" i="60" s="1"/>
  <c r="K43" i="60" s="1"/>
  <c r="K44" i="60" s="1"/>
  <c r="K45" i="60" s="1"/>
  <c r="K46" i="60" s="1"/>
  <c r="K47" i="60" s="1"/>
  <c r="K48" i="60" s="1"/>
  <c r="K49" i="60" s="1"/>
  <c r="K50" i="60" s="1"/>
  <c r="K51" i="60" s="1"/>
  <c r="K52" i="60" s="1"/>
  <c r="K53" i="60" s="1"/>
  <c r="K54" i="60" s="1"/>
  <c r="K55" i="60" s="1"/>
  <c r="K56" i="60" s="1"/>
  <c r="K57" i="60" s="1"/>
  <c r="D112" i="2"/>
  <c r="J28" i="63" l="1"/>
  <c r="J37" i="63"/>
  <c r="J27" i="63"/>
  <c r="J26" i="63"/>
  <c r="J24" i="63"/>
  <c r="J29" i="63"/>
  <c r="I40" i="63"/>
  <c r="K40" i="63" s="1"/>
  <c r="J36" i="63"/>
  <c r="J25" i="63"/>
  <c r="J35" i="63"/>
  <c r="J30" i="63"/>
  <c r="J34" i="63"/>
  <c r="J23" i="63"/>
  <c r="J33" i="63"/>
  <c r="J31" i="63"/>
  <c r="J32" i="63"/>
  <c r="J22" i="63"/>
  <c r="N22" i="63" s="1"/>
  <c r="K12" i="60"/>
  <c r="E12" i="60"/>
  <c r="L11" i="60"/>
  <c r="L10" i="60"/>
  <c r="N10" i="60" s="1"/>
  <c r="L9" i="60"/>
  <c r="N9" i="60" s="1"/>
  <c r="L8" i="60"/>
  <c r="N8" i="60" s="1"/>
  <c r="L7" i="60"/>
  <c r="N7" i="60" s="1"/>
  <c r="L6" i="60"/>
  <c r="L5" i="56"/>
  <c r="J30" i="56"/>
  <c r="N23" i="63" l="1"/>
  <c r="N24" i="63" s="1"/>
  <c r="N25" i="63" s="1"/>
  <c r="N26" i="63" s="1"/>
  <c r="N27" i="63" s="1"/>
  <c r="N28" i="63" s="1"/>
  <c r="N29" i="63" s="1"/>
  <c r="N30" i="63" s="1"/>
  <c r="N31" i="63" s="1"/>
  <c r="N32" i="63" s="1"/>
  <c r="N33" i="63" s="1"/>
  <c r="N34" i="63" s="1"/>
  <c r="N35" i="63" s="1"/>
  <c r="N36" i="63" s="1"/>
  <c r="N37" i="63" s="1"/>
  <c r="N40" i="63" s="1"/>
  <c r="I41" i="63"/>
  <c r="J41" i="63" s="1"/>
  <c r="N41" i="63" s="1"/>
  <c r="N42" i="63" s="1"/>
  <c r="N43" i="63" s="1"/>
  <c r="N44" i="63" s="1"/>
  <c r="N45" i="63" s="1"/>
  <c r="N48" i="63" s="1"/>
  <c r="N49" i="63" s="1"/>
  <c r="N50" i="63" s="1"/>
  <c r="I16" i="63"/>
  <c r="E13" i="60"/>
  <c r="L11" i="56"/>
  <c r="L10" i="56"/>
  <c r="N10" i="56" s="1"/>
  <c r="L9" i="56"/>
  <c r="N9" i="56" s="1"/>
  <c r="L8" i="56"/>
  <c r="N8" i="56" s="1"/>
  <c r="L7" i="56"/>
  <c r="N7" i="56" s="1"/>
  <c r="L6" i="56"/>
  <c r="N6" i="56" s="1"/>
  <c r="N5" i="56"/>
  <c r="K41" i="63" l="1"/>
  <c r="K42" i="63" s="1"/>
  <c r="K43" i="63" s="1"/>
  <c r="K44" i="63" s="1"/>
  <c r="K45" i="63" s="1"/>
  <c r="K46" i="63" s="1"/>
  <c r="K47" i="63" s="1"/>
  <c r="K48" i="63" s="1"/>
  <c r="K49" i="63" s="1"/>
  <c r="K50" i="63" s="1"/>
  <c r="K51" i="63" s="1"/>
  <c r="K52" i="63" s="1"/>
  <c r="K53" i="63" s="1"/>
  <c r="K54" i="63" s="1"/>
  <c r="K55" i="63" s="1"/>
  <c r="K56" i="63" s="1"/>
  <c r="K57" i="63" s="1"/>
  <c r="K58" i="63" s="1"/>
  <c r="K59" i="63" s="1"/>
  <c r="K60" i="63" s="1"/>
  <c r="K61" i="63" s="1"/>
  <c r="K62" i="63" s="1"/>
  <c r="K63" i="63" s="1"/>
  <c r="K64" i="63" s="1"/>
  <c r="K65" i="63" s="1"/>
  <c r="K66" i="63" s="1"/>
  <c r="K67" i="63" s="1"/>
  <c r="K68" i="63" s="1"/>
  <c r="K69" i="63" s="1"/>
  <c r="K70" i="63" s="1"/>
  <c r="K71" i="63" s="1"/>
  <c r="K72" i="63" s="1"/>
  <c r="K73" i="63" s="1"/>
  <c r="K74" i="63" s="1"/>
  <c r="K75" i="63" s="1"/>
  <c r="K76" i="63" s="1"/>
  <c r="K77" i="63" s="1"/>
  <c r="K78" i="63" s="1"/>
  <c r="K79" i="63" s="1"/>
  <c r="K80" i="63" s="1"/>
  <c r="K81" i="63" s="1"/>
  <c r="K82" i="63" s="1"/>
  <c r="K83" i="63" s="1"/>
  <c r="K84" i="63" s="1"/>
  <c r="K85" i="63" s="1"/>
  <c r="K86" i="63" s="1"/>
  <c r="K87" i="63" s="1"/>
  <c r="K88" i="63" s="1"/>
  <c r="K89" i="63" s="1"/>
  <c r="K90" i="63" s="1"/>
  <c r="K91" i="63" s="1"/>
  <c r="K92" i="63" s="1"/>
  <c r="K93" i="63" s="1"/>
  <c r="K94" i="63" s="1"/>
  <c r="K95" i="63" s="1"/>
  <c r="K96" i="63" s="1"/>
  <c r="K97" i="63" s="1"/>
  <c r="K98" i="63" s="1"/>
  <c r="K99" i="63" s="1"/>
  <c r="K100" i="63" s="1"/>
  <c r="K101" i="63" s="1"/>
  <c r="K102" i="63" s="1"/>
  <c r="K103" i="63" s="1"/>
  <c r="K104" i="63" s="1"/>
  <c r="K105" i="63" s="1"/>
  <c r="K106" i="63" s="1"/>
  <c r="K107" i="63" s="1"/>
  <c r="K108" i="63" s="1"/>
  <c r="K109" i="63" s="1"/>
  <c r="K110" i="63" s="1"/>
  <c r="K111" i="63" s="1"/>
  <c r="K112" i="63" s="1"/>
  <c r="K113" i="63" s="1"/>
  <c r="K114" i="63" s="1"/>
  <c r="K115" i="63" s="1"/>
  <c r="K116" i="63" s="1"/>
  <c r="K117" i="63" s="1"/>
  <c r="K118" i="63" s="1"/>
  <c r="K119" i="63" s="1"/>
  <c r="K120" i="63" s="1"/>
  <c r="K121" i="63" s="1"/>
  <c r="M14" i="60"/>
  <c r="K12" i="56"/>
  <c r="D103" i="2" l="1"/>
  <c r="F29" i="58"/>
  <c r="K20" i="56"/>
  <c r="K21" i="56" s="1"/>
  <c r="K22" i="56" s="1"/>
  <c r="K23" i="56" s="1"/>
  <c r="K24" i="56" s="1"/>
  <c r="K25" i="56" s="1"/>
  <c r="K26" i="56" s="1"/>
  <c r="K27" i="56" s="1"/>
  <c r="K28" i="56" s="1"/>
  <c r="K29" i="56" s="1"/>
  <c r="E12" i="56"/>
  <c r="E13" i="56" s="1"/>
  <c r="F5" i="52"/>
  <c r="L5" i="48"/>
  <c r="L5" i="46"/>
  <c r="L5" i="43"/>
  <c r="L5" i="41"/>
  <c r="K20" i="52"/>
  <c r="K21" i="52" s="1"/>
  <c r="K22" i="52" s="1"/>
  <c r="K23" i="52" s="1"/>
  <c r="K24" i="52" s="1"/>
  <c r="K25" i="52" s="1"/>
  <c r="K26" i="52" s="1"/>
  <c r="K27" i="52" s="1"/>
  <c r="K28" i="52" s="1"/>
  <c r="K29" i="52" s="1"/>
  <c r="K30" i="52" s="1"/>
  <c r="K31" i="52" s="1"/>
  <c r="K32" i="52" s="1"/>
  <c r="K33" i="52" s="1"/>
  <c r="K34" i="52" s="1"/>
  <c r="K35" i="52" s="1"/>
  <c r="K36" i="52" s="1"/>
  <c r="K37" i="52" s="1"/>
  <c r="K38" i="52" s="1"/>
  <c r="K39" i="52" s="1"/>
  <c r="K40" i="52" s="1"/>
  <c r="K41" i="52" s="1"/>
  <c r="K42" i="52" s="1"/>
  <c r="K43" i="52" s="1"/>
  <c r="K44" i="52" s="1"/>
  <c r="K45" i="52" s="1"/>
  <c r="K46" i="52" s="1"/>
  <c r="K47" i="52" s="1"/>
  <c r="K48" i="52" s="1"/>
  <c r="K49" i="52" s="1"/>
  <c r="K50" i="52" s="1"/>
  <c r="K51" i="52" s="1"/>
  <c r="K52" i="52" s="1"/>
  <c r="K53" i="52" s="1"/>
  <c r="K54" i="52" s="1"/>
  <c r="K55" i="52" s="1"/>
  <c r="K56" i="52" s="1"/>
  <c r="K57" i="52" s="1"/>
  <c r="K58" i="52" s="1"/>
  <c r="K59" i="52" s="1"/>
  <c r="K60" i="52" s="1"/>
  <c r="K61" i="52" s="1"/>
  <c r="K62" i="52" s="1"/>
  <c r="K63" i="52" s="1"/>
  <c r="K64" i="52" s="1"/>
  <c r="K65" i="52" s="1"/>
  <c r="K66" i="52" s="1"/>
  <c r="K67" i="52" s="1"/>
  <c r="K68" i="52" s="1"/>
  <c r="K69" i="52" s="1"/>
  <c r="K70" i="52" s="1"/>
  <c r="K71" i="52" s="1"/>
  <c r="K72" i="52" s="1"/>
  <c r="K73" i="52" s="1"/>
  <c r="K74" i="52" s="1"/>
  <c r="K75" i="52" s="1"/>
  <c r="K76" i="52" s="1"/>
  <c r="K77" i="52" s="1"/>
  <c r="K78" i="52" s="1"/>
  <c r="K79" i="52" s="1"/>
  <c r="K80" i="52" s="1"/>
  <c r="K81" i="52" s="1"/>
  <c r="K82" i="52" s="1"/>
  <c r="J46" i="60" l="1"/>
  <c r="J34" i="60"/>
  <c r="J22" i="60"/>
  <c r="J21" i="60"/>
  <c r="J45" i="60"/>
  <c r="J33" i="60"/>
  <c r="J36" i="60"/>
  <c r="J57" i="60"/>
  <c r="J44" i="60"/>
  <c r="J32" i="60"/>
  <c r="J20" i="60"/>
  <c r="J48" i="60"/>
  <c r="J55" i="60"/>
  <c r="J43" i="60"/>
  <c r="J31" i="60"/>
  <c r="J26" i="60"/>
  <c r="J54" i="60"/>
  <c r="J42" i="60"/>
  <c r="J30" i="60"/>
  <c r="J35" i="60"/>
  <c r="J53" i="60"/>
  <c r="J41" i="60"/>
  <c r="J28" i="60"/>
  <c r="J29" i="60"/>
  <c r="J23" i="60"/>
  <c r="J52" i="60"/>
  <c r="J40" i="60"/>
  <c r="J24" i="60"/>
  <c r="J51" i="60"/>
  <c r="J39" i="60"/>
  <c r="J27" i="60"/>
  <c r="J50" i="60"/>
  <c r="J38" i="60"/>
  <c r="J47" i="60"/>
  <c r="J49" i="60"/>
  <c r="J37" i="60"/>
  <c r="J25" i="60"/>
  <c r="J51" i="56"/>
  <c r="J40" i="56"/>
  <c r="J82" i="56"/>
  <c r="J78" i="56"/>
  <c r="J66" i="56"/>
  <c r="J54" i="56"/>
  <c r="J42" i="56"/>
  <c r="J45" i="56"/>
  <c r="J43" i="56"/>
  <c r="J77" i="56"/>
  <c r="J65" i="56"/>
  <c r="J53" i="56"/>
  <c r="J41" i="56"/>
  <c r="J57" i="56"/>
  <c r="J79" i="56"/>
  <c r="J88" i="56"/>
  <c r="J76" i="56"/>
  <c r="J64" i="56"/>
  <c r="J52" i="56"/>
  <c r="J69" i="56"/>
  <c r="J55" i="56"/>
  <c r="J87" i="56"/>
  <c r="J75" i="56"/>
  <c r="J63" i="56"/>
  <c r="J39" i="56"/>
  <c r="J34" i="56"/>
  <c r="J86" i="56"/>
  <c r="J74" i="56"/>
  <c r="J62" i="56"/>
  <c r="J50" i="56"/>
  <c r="J38" i="56"/>
  <c r="J36" i="56"/>
  <c r="J67" i="56"/>
  <c r="J85" i="56"/>
  <c r="J73" i="56"/>
  <c r="J61" i="56"/>
  <c r="J49" i="56"/>
  <c r="J37" i="56"/>
  <c r="J47" i="56"/>
  <c r="J84" i="56"/>
  <c r="J72" i="56"/>
  <c r="J60" i="56"/>
  <c r="J48" i="56"/>
  <c r="J59" i="56"/>
  <c r="J83" i="56"/>
  <c r="J71" i="56"/>
  <c r="J56" i="56"/>
  <c r="J70" i="56"/>
  <c r="J58" i="56"/>
  <c r="J46" i="56"/>
  <c r="J35" i="56"/>
  <c r="J81" i="56"/>
  <c r="J80" i="56"/>
  <c r="J68" i="56"/>
  <c r="J33" i="56"/>
  <c r="I52" i="52"/>
  <c r="N20" i="60" l="1"/>
  <c r="N21" i="60" s="1"/>
  <c r="N22" i="60" s="1"/>
  <c r="N23" i="60" s="1"/>
  <c r="N24" i="60" s="1"/>
  <c r="N25" i="60" s="1"/>
  <c r="N26" i="60" s="1"/>
  <c r="N27" i="60" s="1"/>
  <c r="N29" i="60" s="1"/>
  <c r="N28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7" i="60" s="1"/>
  <c r="L20" i="60"/>
  <c r="L21" i="60" s="1"/>
  <c r="L22" i="60" s="1"/>
  <c r="L23" i="60" s="1"/>
  <c r="L24" i="60" s="1"/>
  <c r="L25" i="60" s="1"/>
  <c r="L26" i="60" s="1"/>
  <c r="L27" i="60" s="1"/>
  <c r="L29" i="60" s="1"/>
  <c r="L28" i="60" s="1"/>
  <c r="L30" i="60" s="1"/>
  <c r="L31" i="60" s="1"/>
  <c r="L32" i="60" s="1"/>
  <c r="L33" i="60" s="1"/>
  <c r="L34" i="60" s="1"/>
  <c r="L35" i="60" s="1"/>
  <c r="L36" i="60" s="1"/>
  <c r="L37" i="60" s="1"/>
  <c r="L38" i="60" s="1"/>
  <c r="L39" i="60" s="1"/>
  <c r="L40" i="60" s="1"/>
  <c r="L41" i="60" s="1"/>
  <c r="L42" i="60" s="1"/>
  <c r="L43" i="60" s="1"/>
  <c r="L44" i="60" s="1"/>
  <c r="L45" i="60" s="1"/>
  <c r="L46" i="60" s="1"/>
  <c r="L47" i="60" s="1"/>
  <c r="L48" i="60" s="1"/>
  <c r="L49" i="60" s="1"/>
  <c r="L50" i="60" s="1"/>
  <c r="L51" i="60" s="1"/>
  <c r="L52" i="60" s="1"/>
  <c r="L53" i="60" s="1"/>
  <c r="L54" i="60" s="1"/>
  <c r="L55" i="60" s="1"/>
  <c r="L56" i="60" s="1"/>
  <c r="L57" i="60" s="1"/>
  <c r="E12" i="52"/>
  <c r="L10" i="52"/>
  <c r="L9" i="52"/>
  <c r="L8" i="52"/>
  <c r="L7" i="52"/>
  <c r="L6" i="52"/>
  <c r="L5" i="52"/>
  <c r="E13" i="52" l="1"/>
  <c r="I16" i="52"/>
  <c r="I76" i="48"/>
  <c r="J20" i="63" l="1"/>
  <c r="L20" i="63" l="1"/>
  <c r="L21" i="63" s="1"/>
  <c r="L22" i="63" s="1"/>
  <c r="L23" i="63" s="1"/>
  <c r="L24" i="63" s="1"/>
  <c r="L25" i="63" s="1"/>
  <c r="L26" i="63" s="1"/>
  <c r="L27" i="63" s="1"/>
  <c r="L28" i="63" s="1"/>
  <c r="L29" i="63" s="1"/>
  <c r="L30" i="63" s="1"/>
  <c r="L31" i="63" s="1"/>
  <c r="L32" i="63" s="1"/>
  <c r="L33" i="63" s="1"/>
  <c r="L34" i="63" s="1"/>
  <c r="L35" i="63" s="1"/>
  <c r="L36" i="63" s="1"/>
  <c r="L37" i="63" s="1"/>
  <c r="L38" i="63" s="1"/>
  <c r="L39" i="63" s="1"/>
  <c r="L40" i="63" s="1"/>
  <c r="L41" i="63" s="1"/>
  <c r="L42" i="63" s="1"/>
  <c r="L43" i="63" s="1"/>
  <c r="L44" i="63" s="1"/>
  <c r="L45" i="63" s="1"/>
  <c r="L46" i="63" s="1"/>
  <c r="L47" i="63" s="1"/>
  <c r="L48" i="63" s="1"/>
  <c r="L49" i="63" s="1"/>
  <c r="L50" i="63" s="1"/>
  <c r="L51" i="63" s="1"/>
  <c r="L52" i="63" s="1"/>
  <c r="L53" i="63" s="1"/>
  <c r="L54" i="63" s="1"/>
  <c r="L55" i="63" s="1"/>
  <c r="L56" i="63" s="1"/>
  <c r="L57" i="63" s="1"/>
  <c r="L58" i="63" s="1"/>
  <c r="L59" i="63" s="1"/>
  <c r="L60" i="63" s="1"/>
  <c r="L61" i="63" s="1"/>
  <c r="L62" i="63" s="1"/>
  <c r="L63" i="63" s="1"/>
  <c r="L64" i="63" s="1"/>
  <c r="L65" i="63" s="1"/>
  <c r="L66" i="63" s="1"/>
  <c r="L67" i="63" s="1"/>
  <c r="L68" i="63" s="1"/>
  <c r="L69" i="63" s="1"/>
  <c r="L70" i="63" s="1"/>
  <c r="L71" i="63" s="1"/>
  <c r="L72" i="63" s="1"/>
  <c r="L73" i="63" s="1"/>
  <c r="L74" i="63" s="1"/>
  <c r="L75" i="63" s="1"/>
  <c r="L76" i="63" s="1"/>
  <c r="L77" i="63" s="1"/>
  <c r="L78" i="63" s="1"/>
  <c r="L79" i="63" s="1"/>
  <c r="L80" i="63" s="1"/>
  <c r="L81" i="63" s="1"/>
  <c r="L82" i="63" s="1"/>
  <c r="L83" i="63" s="1"/>
  <c r="L84" i="63" s="1"/>
  <c r="L85" i="63" s="1"/>
  <c r="L86" i="63" s="1"/>
  <c r="L87" i="63" s="1"/>
  <c r="L88" i="63" s="1"/>
  <c r="L89" i="63" s="1"/>
  <c r="L90" i="63" s="1"/>
  <c r="L91" i="63" s="1"/>
  <c r="L92" i="63" s="1"/>
  <c r="L93" i="63" s="1"/>
  <c r="L94" i="63" s="1"/>
  <c r="L95" i="63" s="1"/>
  <c r="L96" i="63" s="1"/>
  <c r="L97" i="63" s="1"/>
  <c r="L98" i="63" s="1"/>
  <c r="L99" i="63" s="1"/>
  <c r="L100" i="63" s="1"/>
  <c r="L101" i="63" s="1"/>
  <c r="L102" i="63" s="1"/>
  <c r="L103" i="63" s="1"/>
  <c r="L104" i="63" s="1"/>
  <c r="L105" i="63" s="1"/>
  <c r="L106" i="63" s="1"/>
  <c r="L107" i="63" s="1"/>
  <c r="L108" i="63" s="1"/>
  <c r="L109" i="63" s="1"/>
  <c r="L110" i="63" s="1"/>
  <c r="L111" i="63" s="1"/>
  <c r="L112" i="63" s="1"/>
  <c r="L113" i="63" s="1"/>
  <c r="L114" i="63" s="1"/>
  <c r="L115" i="63" s="1"/>
  <c r="L116" i="63" s="1"/>
  <c r="L117" i="63" s="1"/>
  <c r="L118" i="63" s="1"/>
  <c r="L119" i="63" s="1"/>
  <c r="L120" i="63" s="1"/>
  <c r="L121" i="63" s="1"/>
  <c r="J16" i="63"/>
  <c r="J16" i="60"/>
  <c r="J29" i="56"/>
  <c r="J28" i="56"/>
  <c r="J27" i="56"/>
  <c r="J23" i="56"/>
  <c r="J26" i="56"/>
  <c r="J25" i="56"/>
  <c r="I30" i="56"/>
  <c r="J24" i="56"/>
  <c r="J22" i="56"/>
  <c r="J20" i="56"/>
  <c r="J76" i="48"/>
  <c r="J72" i="52"/>
  <c r="J60" i="52"/>
  <c r="J47" i="52"/>
  <c r="J35" i="52"/>
  <c r="J24" i="52"/>
  <c r="J21" i="52"/>
  <c r="J28" i="52"/>
  <c r="J74" i="52"/>
  <c r="J71" i="52"/>
  <c r="J59" i="52"/>
  <c r="J46" i="52"/>
  <c r="J34" i="52"/>
  <c r="J23" i="52"/>
  <c r="J44" i="52"/>
  <c r="J39" i="52"/>
  <c r="J27" i="52"/>
  <c r="J48" i="52"/>
  <c r="J82" i="52"/>
  <c r="J70" i="52"/>
  <c r="J58" i="52"/>
  <c r="J45" i="52"/>
  <c r="J22" i="52"/>
  <c r="J57" i="52"/>
  <c r="J51" i="52"/>
  <c r="J62" i="52"/>
  <c r="J25" i="52"/>
  <c r="J81" i="52"/>
  <c r="J69" i="52"/>
  <c r="J33" i="52"/>
  <c r="J63" i="52"/>
  <c r="J36" i="52"/>
  <c r="J80" i="52"/>
  <c r="J68" i="52"/>
  <c r="J56" i="52"/>
  <c r="J43" i="52"/>
  <c r="J32" i="52"/>
  <c r="J30" i="52"/>
  <c r="J40" i="52"/>
  <c r="J50" i="52"/>
  <c r="J26" i="52"/>
  <c r="J79" i="52"/>
  <c r="J67" i="52"/>
  <c r="J55" i="52"/>
  <c r="J42" i="52"/>
  <c r="J31" i="52"/>
  <c r="J41" i="52"/>
  <c r="J53" i="52"/>
  <c r="J75" i="52"/>
  <c r="J61" i="52"/>
  <c r="J78" i="52"/>
  <c r="J66" i="52"/>
  <c r="J54" i="52"/>
  <c r="J29" i="52"/>
  <c r="J38" i="52"/>
  <c r="J73" i="52"/>
  <c r="J77" i="52"/>
  <c r="J65" i="52"/>
  <c r="J37" i="52"/>
  <c r="J76" i="52"/>
  <c r="J64" i="52"/>
  <c r="J49" i="52"/>
  <c r="J20" i="52"/>
  <c r="J52" i="52"/>
  <c r="J77" i="48"/>
  <c r="J72" i="48"/>
  <c r="J68" i="48"/>
  <c r="J64" i="48"/>
  <c r="J60" i="48"/>
  <c r="J56" i="48"/>
  <c r="J52" i="48"/>
  <c r="J48" i="48"/>
  <c r="J44" i="48"/>
  <c r="J40" i="48"/>
  <c r="J36" i="48"/>
  <c r="J33" i="48"/>
  <c r="J29" i="48"/>
  <c r="J25" i="48"/>
  <c r="J75" i="48"/>
  <c r="J71" i="48"/>
  <c r="J67" i="48"/>
  <c r="J63" i="48"/>
  <c r="J59" i="48"/>
  <c r="J55" i="48"/>
  <c r="J51" i="48"/>
  <c r="J47" i="48"/>
  <c r="J43" i="48"/>
  <c r="J39" i="48"/>
  <c r="J35" i="48"/>
  <c r="J32" i="48"/>
  <c r="J28" i="48"/>
  <c r="J24" i="48"/>
  <c r="J79" i="48"/>
  <c r="J74" i="48"/>
  <c r="J70" i="48"/>
  <c r="J66" i="48"/>
  <c r="J62" i="48"/>
  <c r="J58" i="48"/>
  <c r="J54" i="48"/>
  <c r="J50" i="48"/>
  <c r="J46" i="48"/>
  <c r="J42" i="48"/>
  <c r="J38" i="48"/>
  <c r="J31" i="48"/>
  <c r="J27" i="48"/>
  <c r="J78" i="48"/>
  <c r="J73" i="48"/>
  <c r="J69" i="48"/>
  <c r="J65" i="48"/>
  <c r="J61" i="48"/>
  <c r="J57" i="48"/>
  <c r="J53" i="48"/>
  <c r="J49" i="48"/>
  <c r="J45" i="48"/>
  <c r="J41" i="48"/>
  <c r="J37" i="48"/>
  <c r="J34" i="48"/>
  <c r="J30" i="48"/>
  <c r="J26" i="48"/>
  <c r="N22" i="48"/>
  <c r="D10" i="56" l="1"/>
  <c r="C10" i="56"/>
  <c r="I31" i="56"/>
  <c r="L20" i="56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J32" i="56"/>
  <c r="K30" i="56"/>
  <c r="K31" i="56" s="1"/>
  <c r="K32" i="56" s="1"/>
  <c r="K33" i="56" s="1"/>
  <c r="K34" i="56" s="1"/>
  <c r="K35" i="56" s="1"/>
  <c r="K36" i="56" s="1"/>
  <c r="K37" i="56" s="1"/>
  <c r="K38" i="56" s="1"/>
  <c r="K39" i="56" s="1"/>
  <c r="K40" i="56" s="1"/>
  <c r="K41" i="56" s="1"/>
  <c r="K42" i="56" s="1"/>
  <c r="K43" i="56" s="1"/>
  <c r="K44" i="56" s="1"/>
  <c r="K45" i="56" s="1"/>
  <c r="K46" i="56" s="1"/>
  <c r="K47" i="56" s="1"/>
  <c r="K48" i="56" s="1"/>
  <c r="K49" i="56" s="1"/>
  <c r="K50" i="56" s="1"/>
  <c r="K51" i="56" s="1"/>
  <c r="K52" i="56" s="1"/>
  <c r="K53" i="56" s="1"/>
  <c r="K54" i="56" s="1"/>
  <c r="K55" i="56" s="1"/>
  <c r="K56" i="56" s="1"/>
  <c r="K57" i="56" s="1"/>
  <c r="K58" i="56" s="1"/>
  <c r="K59" i="56" s="1"/>
  <c r="K60" i="56" s="1"/>
  <c r="K61" i="56" s="1"/>
  <c r="K62" i="56" s="1"/>
  <c r="K63" i="56" s="1"/>
  <c r="K64" i="56" s="1"/>
  <c r="K65" i="56" s="1"/>
  <c r="K66" i="56" s="1"/>
  <c r="K67" i="56" s="1"/>
  <c r="K68" i="56" s="1"/>
  <c r="K69" i="56" s="1"/>
  <c r="K70" i="56" s="1"/>
  <c r="K71" i="56" s="1"/>
  <c r="K72" i="56" s="1"/>
  <c r="K73" i="56" s="1"/>
  <c r="K74" i="56" s="1"/>
  <c r="K75" i="56" s="1"/>
  <c r="K76" i="56" s="1"/>
  <c r="K77" i="56" s="1"/>
  <c r="K78" i="56" s="1"/>
  <c r="K79" i="56" s="1"/>
  <c r="K80" i="56" s="1"/>
  <c r="K81" i="56" s="1"/>
  <c r="K82" i="56" s="1"/>
  <c r="K83" i="56" s="1"/>
  <c r="K84" i="56" s="1"/>
  <c r="K85" i="56" s="1"/>
  <c r="K86" i="56" s="1"/>
  <c r="K87" i="56" s="1"/>
  <c r="K88" i="56" s="1"/>
  <c r="L20" i="52"/>
  <c r="L21" i="52" s="1"/>
  <c r="L22" i="52" s="1"/>
  <c r="L23" i="52" s="1"/>
  <c r="L24" i="52" s="1"/>
  <c r="L25" i="52" s="1"/>
  <c r="L26" i="52" s="1"/>
  <c r="L27" i="52" s="1"/>
  <c r="L28" i="52" s="1"/>
  <c r="L29" i="52" s="1"/>
  <c r="L30" i="52" s="1"/>
  <c r="L31" i="52" s="1"/>
  <c r="L32" i="52" s="1"/>
  <c r="L33" i="52" s="1"/>
  <c r="L34" i="52" s="1"/>
  <c r="L35" i="52" s="1"/>
  <c r="L36" i="52" s="1"/>
  <c r="L37" i="52" s="1"/>
  <c r="L38" i="52" s="1"/>
  <c r="L39" i="52" s="1"/>
  <c r="L40" i="52" s="1"/>
  <c r="L41" i="52" s="1"/>
  <c r="L42" i="52" s="1"/>
  <c r="L43" i="52" s="1"/>
  <c r="L44" i="52" s="1"/>
  <c r="L45" i="52" s="1"/>
  <c r="L46" i="52" s="1"/>
  <c r="L47" i="52" s="1"/>
  <c r="L48" i="52" s="1"/>
  <c r="L49" i="52" s="1"/>
  <c r="L50" i="52" s="1"/>
  <c r="L51" i="52" s="1"/>
  <c r="L52" i="52" s="1"/>
  <c r="L53" i="52" s="1"/>
  <c r="L54" i="52" s="1"/>
  <c r="L55" i="52" s="1"/>
  <c r="L56" i="52" s="1"/>
  <c r="L57" i="52" s="1"/>
  <c r="L58" i="52" s="1"/>
  <c r="L59" i="52" s="1"/>
  <c r="L60" i="52" s="1"/>
  <c r="L61" i="52" s="1"/>
  <c r="L62" i="52" s="1"/>
  <c r="L63" i="52" s="1"/>
  <c r="L64" i="52" s="1"/>
  <c r="L65" i="52" s="1"/>
  <c r="L66" i="52" s="1"/>
  <c r="L67" i="52" s="1"/>
  <c r="L68" i="52" s="1"/>
  <c r="L69" i="52" s="1"/>
  <c r="L70" i="52" s="1"/>
  <c r="L71" i="52" s="1"/>
  <c r="L72" i="52" s="1"/>
  <c r="L73" i="52" s="1"/>
  <c r="L74" i="52" s="1"/>
  <c r="L75" i="52" s="1"/>
  <c r="L76" i="52" s="1"/>
  <c r="L77" i="52" s="1"/>
  <c r="L78" i="52" s="1"/>
  <c r="L79" i="52" s="1"/>
  <c r="L80" i="52" s="1"/>
  <c r="L81" i="52" s="1"/>
  <c r="L82" i="52" s="1"/>
  <c r="N20" i="52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J16" i="52"/>
  <c r="N15" i="48"/>
  <c r="H16" i="48"/>
  <c r="L20" i="48"/>
  <c r="L21" i="48" s="1"/>
  <c r="L22" i="48" s="1"/>
  <c r="K20" i="48"/>
  <c r="K21" i="48" s="1"/>
  <c r="K12" i="48"/>
  <c r="J12" i="48"/>
  <c r="I12" i="48"/>
  <c r="E12" i="48"/>
  <c r="D12" i="48"/>
  <c r="C12" i="48"/>
  <c r="L10" i="48"/>
  <c r="L9" i="48"/>
  <c r="L8" i="48"/>
  <c r="L7" i="48"/>
  <c r="L6" i="48"/>
  <c r="N32" i="56" l="1"/>
  <c r="N33" i="56" s="1"/>
  <c r="N34" i="56" s="1"/>
  <c r="N35" i="56" s="1"/>
  <c r="N36" i="56" s="1"/>
  <c r="L32" i="56"/>
  <c r="L33" i="56" s="1"/>
  <c r="L34" i="56" s="1"/>
  <c r="L35" i="56" s="1"/>
  <c r="L36" i="56" s="1"/>
  <c r="L37" i="56" s="1"/>
  <c r="L38" i="56" s="1"/>
  <c r="L39" i="56" s="1"/>
  <c r="L40" i="56" s="1"/>
  <c r="L41" i="56" s="1"/>
  <c r="L42" i="56" s="1"/>
  <c r="L43" i="56" s="1"/>
  <c r="L44" i="56" s="1"/>
  <c r="L45" i="56" s="1"/>
  <c r="L46" i="56" s="1"/>
  <c r="L47" i="56" s="1"/>
  <c r="L48" i="56" s="1"/>
  <c r="L49" i="56" s="1"/>
  <c r="L50" i="56" s="1"/>
  <c r="L51" i="56" s="1"/>
  <c r="L52" i="56" s="1"/>
  <c r="L53" i="56" s="1"/>
  <c r="L54" i="56" s="1"/>
  <c r="L55" i="56" s="1"/>
  <c r="L56" i="56" s="1"/>
  <c r="L57" i="56" s="1"/>
  <c r="L58" i="56" s="1"/>
  <c r="L59" i="56" s="1"/>
  <c r="L60" i="56" s="1"/>
  <c r="L61" i="56" s="1"/>
  <c r="L62" i="56" s="1"/>
  <c r="L63" i="56" s="1"/>
  <c r="L64" i="56" s="1"/>
  <c r="L65" i="56" s="1"/>
  <c r="L66" i="56" s="1"/>
  <c r="L67" i="56" s="1"/>
  <c r="L68" i="56" s="1"/>
  <c r="L69" i="56" s="1"/>
  <c r="L70" i="56" s="1"/>
  <c r="L71" i="56" s="1"/>
  <c r="L72" i="56" s="1"/>
  <c r="L73" i="56" s="1"/>
  <c r="L74" i="56" s="1"/>
  <c r="L75" i="56" s="1"/>
  <c r="L76" i="56" s="1"/>
  <c r="L77" i="56" s="1"/>
  <c r="L78" i="56" s="1"/>
  <c r="L79" i="56" s="1"/>
  <c r="L80" i="56" s="1"/>
  <c r="L81" i="56" s="1"/>
  <c r="L82" i="56" s="1"/>
  <c r="L83" i="56" s="1"/>
  <c r="L84" i="56" s="1"/>
  <c r="L85" i="56" s="1"/>
  <c r="L86" i="56" s="1"/>
  <c r="L87" i="56" s="1"/>
  <c r="L88" i="56" s="1"/>
  <c r="I16" i="56"/>
  <c r="N22" i="56"/>
  <c r="N23" i="56" s="1"/>
  <c r="N24" i="56" s="1"/>
  <c r="N25" i="56" s="1"/>
  <c r="N26" i="56" s="1"/>
  <c r="N27" i="56" s="1"/>
  <c r="N28" i="56" s="1"/>
  <c r="N29" i="56" s="1"/>
  <c r="N30" i="56" s="1"/>
  <c r="J16" i="56"/>
  <c r="C13" i="48"/>
  <c r="C15" i="48" s="1"/>
  <c r="D13" i="48"/>
  <c r="D15" i="48" s="1"/>
  <c r="E13" i="48"/>
  <c r="K12" i="46"/>
  <c r="J12" i="46"/>
  <c r="N37" i="56" l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M14" i="56" s="1"/>
  <c r="L20" i="46"/>
  <c r="L21" i="46" s="1"/>
  <c r="K20" i="46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D85" i="2" l="1"/>
  <c r="J50" i="46" s="1"/>
  <c r="I12" i="46"/>
  <c r="E12" i="46"/>
  <c r="D12" i="46"/>
  <c r="C12" i="46"/>
  <c r="L10" i="46"/>
  <c r="L9" i="46"/>
  <c r="L8" i="46"/>
  <c r="L7" i="46"/>
  <c r="L6" i="46"/>
  <c r="I22" i="48" l="1"/>
  <c r="J68" i="46"/>
  <c r="J64" i="46"/>
  <c r="J63" i="46"/>
  <c r="J67" i="46"/>
  <c r="J61" i="46"/>
  <c r="J66" i="46"/>
  <c r="J62" i="46"/>
  <c r="J65" i="46"/>
  <c r="J80" i="46"/>
  <c r="J76" i="46"/>
  <c r="J72" i="46"/>
  <c r="J56" i="46"/>
  <c r="J49" i="46"/>
  <c r="J41" i="46"/>
  <c r="J39" i="46"/>
  <c r="J79" i="46"/>
  <c r="J75" i="46"/>
  <c r="J71" i="46"/>
  <c r="J59" i="46"/>
  <c r="J51" i="46"/>
  <c r="J48" i="46"/>
  <c r="J44" i="46"/>
  <c r="J40" i="46"/>
  <c r="J36" i="46"/>
  <c r="J82" i="46"/>
  <c r="J78" i="46"/>
  <c r="J74" i="46"/>
  <c r="J70" i="46"/>
  <c r="J47" i="46"/>
  <c r="J35" i="46"/>
  <c r="J81" i="46"/>
  <c r="J77" i="46"/>
  <c r="J73" i="46"/>
  <c r="J69" i="46"/>
  <c r="J57" i="46"/>
  <c r="J53" i="46"/>
  <c r="J46" i="46"/>
  <c r="J42" i="46"/>
  <c r="J38" i="46"/>
  <c r="J34" i="46"/>
  <c r="J60" i="46"/>
  <c r="J52" i="46"/>
  <c r="J45" i="46"/>
  <c r="J37" i="46"/>
  <c r="J58" i="46"/>
  <c r="J54" i="46"/>
  <c r="J43" i="46"/>
  <c r="C13" i="46"/>
  <c r="C15" i="46" s="1"/>
  <c r="D13" i="46"/>
  <c r="E13" i="46"/>
  <c r="I23" i="48" l="1"/>
  <c r="J23" i="48" s="1"/>
  <c r="J16" i="48" s="1"/>
  <c r="K22" i="48"/>
  <c r="L20" i="43"/>
  <c r="L21" i="43" s="1"/>
  <c r="K20" i="43"/>
  <c r="K21" i="43" s="1"/>
  <c r="K22" i="43" s="1"/>
  <c r="K23" i="43" s="1"/>
  <c r="K24" i="43" s="1"/>
  <c r="K25" i="43" s="1"/>
  <c r="K26" i="43" s="1"/>
  <c r="K27" i="43" s="1"/>
  <c r="K28" i="43" s="1"/>
  <c r="I16" i="48" l="1"/>
  <c r="K23" i="48"/>
  <c r="K24" i="48" s="1"/>
  <c r="K25" i="48" s="1"/>
  <c r="K26" i="48" s="1"/>
  <c r="K27" i="48" s="1"/>
  <c r="K28" i="48" s="1"/>
  <c r="K29" i="48" s="1"/>
  <c r="K30" i="48" s="1"/>
  <c r="K31" i="48" s="1"/>
  <c r="K32" i="48" s="1"/>
  <c r="K33" i="48" s="1"/>
  <c r="K34" i="48" s="1"/>
  <c r="K35" i="48" s="1"/>
  <c r="K36" i="48" s="1"/>
  <c r="K37" i="48" s="1"/>
  <c r="K38" i="48" s="1"/>
  <c r="K39" i="48" s="1"/>
  <c r="K40" i="48" s="1"/>
  <c r="K41" i="48" s="1"/>
  <c r="K42" i="48" s="1"/>
  <c r="K43" i="48" s="1"/>
  <c r="K44" i="48" s="1"/>
  <c r="K45" i="48" s="1"/>
  <c r="K46" i="48" s="1"/>
  <c r="K47" i="48" s="1"/>
  <c r="K48" i="48" s="1"/>
  <c r="K49" i="48" s="1"/>
  <c r="K50" i="48" s="1"/>
  <c r="K51" i="48" s="1"/>
  <c r="K52" i="48" s="1"/>
  <c r="K53" i="48" s="1"/>
  <c r="K54" i="48" s="1"/>
  <c r="K55" i="48" s="1"/>
  <c r="K56" i="48" s="1"/>
  <c r="K57" i="48" s="1"/>
  <c r="K58" i="48" s="1"/>
  <c r="K59" i="48" s="1"/>
  <c r="K60" i="48" s="1"/>
  <c r="K61" i="48" s="1"/>
  <c r="K62" i="48" s="1"/>
  <c r="K63" i="48" s="1"/>
  <c r="K64" i="48" s="1"/>
  <c r="K65" i="48" s="1"/>
  <c r="K66" i="48" s="1"/>
  <c r="K67" i="48" s="1"/>
  <c r="K68" i="48" s="1"/>
  <c r="K69" i="48" s="1"/>
  <c r="K70" i="48" s="1"/>
  <c r="K71" i="48" s="1"/>
  <c r="K72" i="48" s="1"/>
  <c r="K73" i="48" s="1"/>
  <c r="K74" i="48" s="1"/>
  <c r="K75" i="48" s="1"/>
  <c r="K76" i="48" s="1"/>
  <c r="K77" i="48" s="1"/>
  <c r="K78" i="48" s="1"/>
  <c r="K79" i="48" s="1"/>
  <c r="N23" i="48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N35" i="48" s="1"/>
  <c r="N36" i="48" s="1"/>
  <c r="N37" i="48" s="1"/>
  <c r="N38" i="48" s="1"/>
  <c r="N39" i="48" s="1"/>
  <c r="N40" i="48" s="1"/>
  <c r="N41" i="48" s="1"/>
  <c r="N42" i="48" s="1"/>
  <c r="N43" i="48" s="1"/>
  <c r="N44" i="48" s="1"/>
  <c r="N45" i="48" s="1"/>
  <c r="N46" i="48" s="1"/>
  <c r="N47" i="48" s="1"/>
  <c r="N48" i="48" s="1"/>
  <c r="N49" i="48" s="1"/>
  <c r="N50" i="48" s="1"/>
  <c r="N51" i="48" s="1"/>
  <c r="N52" i="48" s="1"/>
  <c r="N53" i="48" s="1"/>
  <c r="N54" i="48" s="1"/>
  <c r="N55" i="48" s="1"/>
  <c r="N56" i="48" s="1"/>
  <c r="N57" i="48" s="1"/>
  <c r="N58" i="48" s="1"/>
  <c r="N59" i="48" s="1"/>
  <c r="N60" i="48" s="1"/>
  <c r="N61" i="48" s="1"/>
  <c r="N62" i="48" s="1"/>
  <c r="N63" i="48" s="1"/>
  <c r="N64" i="48" s="1"/>
  <c r="N65" i="48" s="1"/>
  <c r="N66" i="48" s="1"/>
  <c r="N67" i="48" s="1"/>
  <c r="N68" i="48" s="1"/>
  <c r="N69" i="48" s="1"/>
  <c r="N70" i="48" s="1"/>
  <c r="N71" i="48" s="1"/>
  <c r="N72" i="48" s="1"/>
  <c r="N73" i="48" s="1"/>
  <c r="N74" i="48" s="1"/>
  <c r="N75" i="48" s="1"/>
  <c r="N76" i="48" s="1"/>
  <c r="N77" i="48" s="1"/>
  <c r="N78" i="48" s="1"/>
  <c r="N79" i="48" s="1"/>
  <c r="L23" i="48"/>
  <c r="L24" i="48" s="1"/>
  <c r="L25" i="48" s="1"/>
  <c r="L26" i="48" s="1"/>
  <c r="L27" i="48" s="1"/>
  <c r="L28" i="48" s="1"/>
  <c r="L29" i="48" s="1"/>
  <c r="L30" i="48" s="1"/>
  <c r="L31" i="48" s="1"/>
  <c r="L32" i="48" s="1"/>
  <c r="L33" i="48" s="1"/>
  <c r="L34" i="48" s="1"/>
  <c r="L35" i="48" s="1"/>
  <c r="L36" i="48" s="1"/>
  <c r="L37" i="48" s="1"/>
  <c r="L38" i="48" s="1"/>
  <c r="L39" i="48" s="1"/>
  <c r="L40" i="48" s="1"/>
  <c r="L41" i="48" s="1"/>
  <c r="L42" i="48" s="1"/>
  <c r="L43" i="48" s="1"/>
  <c r="L44" i="48" s="1"/>
  <c r="L45" i="48" s="1"/>
  <c r="L46" i="48" s="1"/>
  <c r="L47" i="48" s="1"/>
  <c r="L48" i="48" s="1"/>
  <c r="L49" i="48" s="1"/>
  <c r="L50" i="48" s="1"/>
  <c r="L51" i="48" s="1"/>
  <c r="L52" i="48" s="1"/>
  <c r="L53" i="48" s="1"/>
  <c r="L54" i="48" s="1"/>
  <c r="L55" i="48" s="1"/>
  <c r="L56" i="48" s="1"/>
  <c r="L57" i="48" s="1"/>
  <c r="L58" i="48" s="1"/>
  <c r="L59" i="48" s="1"/>
  <c r="L60" i="48" s="1"/>
  <c r="L61" i="48" s="1"/>
  <c r="L62" i="48" s="1"/>
  <c r="L63" i="48" s="1"/>
  <c r="L64" i="48" s="1"/>
  <c r="L65" i="48" s="1"/>
  <c r="L66" i="48" s="1"/>
  <c r="L67" i="48" s="1"/>
  <c r="L68" i="48" s="1"/>
  <c r="L69" i="48" s="1"/>
  <c r="L70" i="48" s="1"/>
  <c r="L71" i="48" s="1"/>
  <c r="L72" i="48" s="1"/>
  <c r="L73" i="48" s="1"/>
  <c r="L74" i="48" s="1"/>
  <c r="L75" i="48" s="1"/>
  <c r="L76" i="48" s="1"/>
  <c r="L77" i="48" s="1"/>
  <c r="L78" i="48" s="1"/>
  <c r="L79" i="48" s="1"/>
  <c r="D79" i="2"/>
  <c r="D14" i="46" s="1"/>
  <c r="D15" i="46" l="1"/>
  <c r="H25" i="46"/>
  <c r="H16" i="46" s="1"/>
  <c r="J31" i="46"/>
  <c r="J23" i="46"/>
  <c r="J25" i="46"/>
  <c r="J30" i="46"/>
  <c r="J26" i="46"/>
  <c r="J22" i="46"/>
  <c r="J28" i="46"/>
  <c r="J24" i="46"/>
  <c r="J27" i="46"/>
  <c r="J29" i="46"/>
  <c r="J77" i="43"/>
  <c r="J73" i="43"/>
  <c r="J69" i="43"/>
  <c r="J78" i="43"/>
  <c r="J70" i="43"/>
  <c r="J80" i="43"/>
  <c r="J76" i="43"/>
  <c r="J72" i="43"/>
  <c r="J68" i="43"/>
  <c r="J74" i="43"/>
  <c r="J79" i="43"/>
  <c r="J75" i="43"/>
  <c r="J71" i="43"/>
  <c r="J64" i="43"/>
  <c r="J60" i="43"/>
  <c r="J56" i="43"/>
  <c r="J52" i="43"/>
  <c r="J48" i="43"/>
  <c r="J44" i="43"/>
  <c r="J40" i="43"/>
  <c r="J81" i="43"/>
  <c r="J58" i="43"/>
  <c r="J46" i="43"/>
  <c r="J38" i="43"/>
  <c r="J67" i="43"/>
  <c r="J63" i="43"/>
  <c r="J59" i="43"/>
  <c r="J55" i="43"/>
  <c r="J51" i="43"/>
  <c r="J47" i="43"/>
  <c r="J43" i="43"/>
  <c r="J39" i="43"/>
  <c r="J36" i="43"/>
  <c r="J33" i="43"/>
  <c r="J66" i="43"/>
  <c r="J62" i="43"/>
  <c r="J54" i="43"/>
  <c r="J35" i="43"/>
  <c r="J65" i="43"/>
  <c r="J61" i="43"/>
  <c r="J57" i="43"/>
  <c r="J53" i="43"/>
  <c r="J49" i="43"/>
  <c r="J45" i="43"/>
  <c r="J41" i="43"/>
  <c r="J37" i="43"/>
  <c r="J34" i="43"/>
  <c r="J31" i="43"/>
  <c r="J50" i="43"/>
  <c r="J42" i="43"/>
  <c r="J32" i="43"/>
  <c r="H16" i="43"/>
  <c r="K12" i="43"/>
  <c r="E12" i="43"/>
  <c r="D12" i="43"/>
  <c r="C12" i="43"/>
  <c r="L10" i="43"/>
  <c r="L9" i="43"/>
  <c r="L8" i="43"/>
  <c r="L7" i="43"/>
  <c r="L6" i="43"/>
  <c r="L22" i="46" l="1"/>
  <c r="L23" i="46" s="1"/>
  <c r="L24" i="46" s="1"/>
  <c r="L25" i="46" s="1"/>
  <c r="L26" i="46" s="1"/>
  <c r="L27" i="46" s="1"/>
  <c r="L28" i="46" s="1"/>
  <c r="L29" i="46" s="1"/>
  <c r="L30" i="46" s="1"/>
  <c r="L31" i="46" s="1"/>
  <c r="L32" i="46" s="1"/>
  <c r="E13" i="43"/>
  <c r="D73" i="2" l="1"/>
  <c r="J33" i="41" s="1"/>
  <c r="J26" i="43" l="1"/>
  <c r="J22" i="43"/>
  <c r="J27" i="43"/>
  <c r="J25" i="43"/>
  <c r="J28" i="43"/>
  <c r="J24" i="43"/>
  <c r="J23" i="43"/>
  <c r="J60" i="41"/>
  <c r="J45" i="41"/>
  <c r="J66" i="41"/>
  <c r="J62" i="41"/>
  <c r="J57" i="41"/>
  <c r="J52" i="41"/>
  <c r="J48" i="41"/>
  <c r="J41" i="41"/>
  <c r="J37" i="41"/>
  <c r="J29" i="41"/>
  <c r="J63" i="41"/>
  <c r="J58" i="41"/>
  <c r="J49" i="41"/>
  <c r="J34" i="41"/>
  <c r="J26" i="41"/>
  <c r="J69" i="41"/>
  <c r="J65" i="41"/>
  <c r="J61" i="41"/>
  <c r="J55" i="41"/>
  <c r="J51" i="41"/>
  <c r="J47" i="41"/>
  <c r="J40" i="41"/>
  <c r="J36" i="41"/>
  <c r="J32" i="41"/>
  <c r="J28" i="41"/>
  <c r="J67" i="41"/>
  <c r="J38" i="41"/>
  <c r="J68" i="41"/>
  <c r="J64" i="41"/>
  <c r="J59" i="41"/>
  <c r="J54" i="41"/>
  <c r="J50" i="41"/>
  <c r="J44" i="41"/>
  <c r="J39" i="41"/>
  <c r="J35" i="41"/>
  <c r="J31" i="41"/>
  <c r="J27" i="41"/>
  <c r="J53" i="41"/>
  <c r="J42" i="41"/>
  <c r="J30" i="41"/>
  <c r="H14" i="41"/>
  <c r="K12" i="41"/>
  <c r="E12" i="41"/>
  <c r="D12" i="41"/>
  <c r="C12" i="41"/>
  <c r="L10" i="41"/>
  <c r="L9" i="41"/>
  <c r="L8" i="41"/>
  <c r="L7" i="41"/>
  <c r="L6" i="41"/>
  <c r="N22" i="43" l="1"/>
  <c r="N23" i="43" s="1"/>
  <c r="N24" i="43" s="1"/>
  <c r="N25" i="43" s="1"/>
  <c r="N26" i="43" s="1"/>
  <c r="N27" i="43" s="1"/>
  <c r="N28" i="43" s="1"/>
  <c r="L22" i="43"/>
  <c r="L23" i="43" s="1"/>
  <c r="L24" i="43" s="1"/>
  <c r="L25" i="43" s="1"/>
  <c r="L26" i="43" s="1"/>
  <c r="L27" i="43" s="1"/>
  <c r="L28" i="43" s="1"/>
  <c r="E13" i="41"/>
  <c r="D66" i="2" l="1"/>
  <c r="J66" i="37" l="1"/>
  <c r="I24" i="41"/>
  <c r="J26" i="37"/>
  <c r="J34" i="37"/>
  <c r="J42" i="37"/>
  <c r="J51" i="37"/>
  <c r="J62" i="37"/>
  <c r="J27" i="37"/>
  <c r="J35" i="37"/>
  <c r="J43" i="37"/>
  <c r="J54" i="37"/>
  <c r="J63" i="37"/>
  <c r="J30" i="37"/>
  <c r="J38" i="37"/>
  <c r="J46" i="37"/>
  <c r="J55" i="37"/>
  <c r="J69" i="37"/>
  <c r="J22" i="41"/>
  <c r="J21" i="41"/>
  <c r="J23" i="41"/>
  <c r="J18" i="41"/>
  <c r="J19" i="41"/>
  <c r="J58" i="37"/>
  <c r="J31" i="37"/>
  <c r="J39" i="37"/>
  <c r="J50" i="37"/>
  <c r="J59" i="37"/>
  <c r="J67" i="37"/>
  <c r="J28" i="37"/>
  <c r="J32" i="37"/>
  <c r="J36" i="37"/>
  <c r="J40" i="37"/>
  <c r="J44" i="37"/>
  <c r="J48" i="37"/>
  <c r="J52" i="37"/>
  <c r="J56" i="37"/>
  <c r="J64" i="37"/>
  <c r="J68" i="37"/>
  <c r="J29" i="37"/>
  <c r="J33" i="37"/>
  <c r="J37" i="37"/>
  <c r="J41" i="37"/>
  <c r="J45" i="37"/>
  <c r="J49" i="37"/>
  <c r="J53" i="37"/>
  <c r="J57" i="37"/>
  <c r="J61" i="37"/>
  <c r="J65" i="37"/>
  <c r="L18" i="37" l="1"/>
  <c r="K18" i="37"/>
  <c r="K19" i="37" s="1"/>
  <c r="K20" i="37" s="1"/>
  <c r="K21" i="37" s="1"/>
  <c r="K22" i="37" s="1"/>
  <c r="K23" i="37" s="1"/>
  <c r="K12" i="37"/>
  <c r="J12" i="37"/>
  <c r="I12" i="37"/>
  <c r="E12" i="37"/>
  <c r="L10" i="37"/>
  <c r="L9" i="37"/>
  <c r="L8" i="37"/>
  <c r="L7" i="37"/>
  <c r="L6" i="37"/>
  <c r="L5" i="37"/>
  <c r="L19" i="37" l="1"/>
  <c r="E13" i="37"/>
  <c r="I59" i="33"/>
  <c r="D61" i="2" l="1"/>
  <c r="J60" i="33" s="1"/>
  <c r="L18" i="33"/>
  <c r="L19" i="33" s="1"/>
  <c r="K18" i="33"/>
  <c r="K19" i="33" s="1"/>
  <c r="K20" i="33" s="1"/>
  <c r="K21" i="33" s="1"/>
  <c r="K22" i="33" s="1"/>
  <c r="K23" i="33" s="1"/>
  <c r="J30" i="33" l="1"/>
  <c r="J38" i="33"/>
  <c r="J46" i="33"/>
  <c r="J58" i="33"/>
  <c r="J40" i="33"/>
  <c r="J48" i="33"/>
  <c r="J61" i="33"/>
  <c r="J23" i="37"/>
  <c r="J20" i="37"/>
  <c r="J22" i="37"/>
  <c r="J21" i="37"/>
  <c r="H20" i="37"/>
  <c r="J63" i="33"/>
  <c r="J32" i="33"/>
  <c r="J26" i="33"/>
  <c r="J34" i="33"/>
  <c r="J42" i="33"/>
  <c r="J52" i="33"/>
  <c r="J62" i="33"/>
  <c r="J28" i="33"/>
  <c r="J36" i="33"/>
  <c r="J44" i="33"/>
  <c r="J54" i="33"/>
  <c r="J64" i="33"/>
  <c r="J27" i="33"/>
  <c r="J31" i="33"/>
  <c r="J35" i="33"/>
  <c r="J39" i="33"/>
  <c r="J43" i="33"/>
  <c r="J47" i="33"/>
  <c r="J51" i="33"/>
  <c r="J55" i="33"/>
  <c r="J59" i="33"/>
  <c r="J29" i="33"/>
  <c r="J33" i="33"/>
  <c r="J37" i="33"/>
  <c r="J41" i="33"/>
  <c r="J45" i="33"/>
  <c r="J49" i="33"/>
  <c r="J57" i="33"/>
  <c r="N20" i="37" l="1"/>
  <c r="N21" i="37" s="1"/>
  <c r="N22" i="37" s="1"/>
  <c r="N23" i="37" s="1"/>
  <c r="H14" i="37"/>
  <c r="L20" i="37"/>
  <c r="L21" i="37" s="1"/>
  <c r="L22" i="37" s="1"/>
  <c r="L23" i="37" s="1"/>
  <c r="I56" i="33"/>
  <c r="J56" i="33" s="1"/>
  <c r="H14" i="33" l="1"/>
  <c r="K12" i="33"/>
  <c r="J12" i="33"/>
  <c r="I12" i="33"/>
  <c r="E12" i="33"/>
  <c r="L10" i="33"/>
  <c r="L9" i="33"/>
  <c r="L8" i="33"/>
  <c r="L7" i="33"/>
  <c r="L6" i="33"/>
  <c r="L5" i="33"/>
  <c r="E13" i="33" l="1"/>
  <c r="D53" i="2"/>
  <c r="I24" i="33" l="1"/>
  <c r="J20" i="33"/>
  <c r="J23" i="33"/>
  <c r="J22" i="33"/>
  <c r="J21" i="33"/>
  <c r="J46" i="29"/>
  <c r="J42" i="29"/>
  <c r="J38" i="29"/>
  <c r="J49" i="29"/>
  <c r="J45" i="29"/>
  <c r="J41" i="29"/>
  <c r="J37" i="29"/>
  <c r="J48" i="29"/>
  <c r="J44" i="29"/>
  <c r="J40" i="29"/>
  <c r="J36" i="29"/>
  <c r="J47" i="29"/>
  <c r="J43" i="29"/>
  <c r="J39" i="29"/>
  <c r="J35" i="29"/>
  <c r="J70" i="29"/>
  <c r="J65" i="29"/>
  <c r="J61" i="29"/>
  <c r="J57" i="29"/>
  <c r="J53" i="29"/>
  <c r="J34" i="29"/>
  <c r="J30" i="29"/>
  <c r="J26" i="29"/>
  <c r="J69" i="29"/>
  <c r="J64" i="29"/>
  <c r="J60" i="29"/>
  <c r="J56" i="29"/>
  <c r="J52" i="29"/>
  <c r="J33" i="29"/>
  <c r="J29" i="29"/>
  <c r="J25" i="29"/>
  <c r="J72" i="29"/>
  <c r="J68" i="29"/>
  <c r="J63" i="29"/>
  <c r="J59" i="29"/>
  <c r="J55" i="29"/>
  <c r="J51" i="29"/>
  <c r="J32" i="29"/>
  <c r="J28" i="29"/>
  <c r="J24" i="29"/>
  <c r="J71" i="29"/>
  <c r="J66" i="29"/>
  <c r="J62" i="29"/>
  <c r="J58" i="29"/>
  <c r="J54" i="29"/>
  <c r="J50" i="29"/>
  <c r="J31" i="29"/>
  <c r="J27" i="29"/>
  <c r="L20" i="33" l="1"/>
  <c r="L21" i="33" s="1"/>
  <c r="L22" i="33" s="1"/>
  <c r="L23" i="33" s="1"/>
  <c r="L24" i="33" s="1"/>
  <c r="I25" i="33"/>
  <c r="J25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20" i="33" s="1"/>
  <c r="N21" i="33" s="1"/>
  <c r="N22" i="33" s="1"/>
  <c r="N23" i="33" s="1"/>
  <c r="N24" i="33" s="1"/>
  <c r="K24" i="33"/>
  <c r="J67" i="29"/>
  <c r="J14" i="33" l="1"/>
  <c r="I14" i="33"/>
  <c r="L25" i="33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K25" i="33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18" i="29"/>
  <c r="K19" i="29" s="1"/>
  <c r="K20" i="29" s="1"/>
  <c r="L18" i="29"/>
  <c r="L19" i="29" s="1"/>
  <c r="K12" i="29"/>
  <c r="E12" i="29"/>
  <c r="D12" i="29"/>
  <c r="C12" i="29"/>
  <c r="L10" i="29"/>
  <c r="L9" i="29"/>
  <c r="L8" i="29"/>
  <c r="L7" i="29"/>
  <c r="L6" i="29"/>
  <c r="L5" i="29"/>
  <c r="E13" i="29" l="1"/>
  <c r="L18" i="23"/>
  <c r="L19" i="23" s="1"/>
  <c r="K18" i="23"/>
  <c r="K19" i="23" s="1"/>
  <c r="D46" i="2" l="1"/>
  <c r="I22" i="29" l="1"/>
  <c r="H20" i="29"/>
  <c r="J21" i="29"/>
  <c r="J20" i="29"/>
  <c r="J61" i="23"/>
  <c r="J57" i="23"/>
  <c r="J53" i="23"/>
  <c r="J49" i="23"/>
  <c r="J45" i="23"/>
  <c r="J41" i="23"/>
  <c r="J37" i="23"/>
  <c r="J33" i="23"/>
  <c r="J29" i="23"/>
  <c r="J25" i="23"/>
  <c r="H23" i="23"/>
  <c r="J55" i="23"/>
  <c r="J47" i="23"/>
  <c r="J35" i="23"/>
  <c r="J27" i="23"/>
  <c r="J62" i="23"/>
  <c r="J50" i="23"/>
  <c r="J42" i="23"/>
  <c r="J34" i="23"/>
  <c r="J26" i="23"/>
  <c r="J60" i="23"/>
  <c r="J56" i="23"/>
  <c r="J52" i="23"/>
  <c r="J48" i="23"/>
  <c r="J44" i="23"/>
  <c r="J40" i="23"/>
  <c r="J36" i="23"/>
  <c r="J32" i="23"/>
  <c r="J28" i="23"/>
  <c r="J24" i="23"/>
  <c r="J59" i="23"/>
  <c r="J51" i="23"/>
  <c r="J43" i="23"/>
  <c r="J39" i="23"/>
  <c r="J31" i="23"/>
  <c r="J23" i="23"/>
  <c r="J58" i="23"/>
  <c r="J54" i="23"/>
  <c r="J46" i="23"/>
  <c r="J38" i="23"/>
  <c r="J30" i="23"/>
  <c r="J22" i="23"/>
  <c r="K12" i="23"/>
  <c r="J12" i="23"/>
  <c r="I12" i="23"/>
  <c r="E12" i="23"/>
  <c r="D12" i="23"/>
  <c r="C12" i="23"/>
  <c r="L10" i="23"/>
  <c r="L9" i="23"/>
  <c r="L8" i="23"/>
  <c r="L7" i="23"/>
  <c r="L6" i="23"/>
  <c r="L5" i="23"/>
  <c r="H14" i="29" l="1"/>
  <c r="L20" i="29"/>
  <c r="I23" i="29"/>
  <c r="J23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20" i="29"/>
  <c r="N21" i="29" s="1"/>
  <c r="N22" i="29" s="1"/>
  <c r="C13" i="23"/>
  <c r="D13" i="23"/>
  <c r="E13" i="23"/>
  <c r="I14" i="29" l="1"/>
  <c r="J14" i="29"/>
  <c r="N18" i="19"/>
  <c r="L18" i="19"/>
  <c r="L19" i="19" s="1"/>
  <c r="L20" i="19" s="1"/>
  <c r="D41" i="2"/>
  <c r="J66" i="19" s="1"/>
  <c r="J48" i="19" l="1"/>
  <c r="J52" i="19"/>
  <c r="J32" i="19"/>
  <c r="J36" i="19"/>
  <c r="J40" i="19"/>
  <c r="J56" i="19"/>
  <c r="J28" i="19"/>
  <c r="J44" i="19"/>
  <c r="J60" i="19"/>
  <c r="J64" i="19"/>
  <c r="J29" i="19"/>
  <c r="J33" i="19"/>
  <c r="J37" i="19"/>
  <c r="J41" i="19"/>
  <c r="J45" i="19"/>
  <c r="J49" i="19"/>
  <c r="J53" i="19"/>
  <c r="J57" i="19"/>
  <c r="J61" i="19"/>
  <c r="J65" i="19"/>
  <c r="J26" i="19"/>
  <c r="J30" i="19"/>
  <c r="J34" i="19"/>
  <c r="J38" i="19"/>
  <c r="J42" i="19"/>
  <c r="J46" i="19"/>
  <c r="J50" i="19"/>
  <c r="J54" i="19"/>
  <c r="J58" i="19"/>
  <c r="J62" i="19"/>
  <c r="J27" i="19"/>
  <c r="J31" i="19"/>
  <c r="J35" i="19"/>
  <c r="J39" i="19"/>
  <c r="J43" i="19"/>
  <c r="J47" i="19"/>
  <c r="J51" i="19"/>
  <c r="J55" i="19"/>
  <c r="J59" i="19"/>
  <c r="J63" i="19"/>
  <c r="J67" i="19"/>
  <c r="K18" i="19"/>
  <c r="K19" i="19" s="1"/>
  <c r="K20" i="19" s="1"/>
  <c r="K21" i="19" s="1"/>
  <c r="K22" i="19" s="1"/>
  <c r="K23" i="19" s="1"/>
  <c r="L18" i="20"/>
  <c r="L19" i="20" s="1"/>
  <c r="L20" i="20" s="1"/>
  <c r="K18" i="20"/>
  <c r="K19" i="20" s="1"/>
  <c r="H14" i="20"/>
  <c r="K12" i="20"/>
  <c r="E13" i="20" s="1"/>
  <c r="J12" i="20"/>
  <c r="D13" i="20" s="1"/>
  <c r="I12" i="20"/>
  <c r="E12" i="20"/>
  <c r="D12" i="20"/>
  <c r="C12" i="20"/>
  <c r="L10" i="20"/>
  <c r="L9" i="20"/>
  <c r="L8" i="20"/>
  <c r="L7" i="20"/>
  <c r="L6" i="20"/>
  <c r="L5" i="20"/>
  <c r="H14" i="23" l="1"/>
  <c r="C13" i="20"/>
  <c r="H14" i="19" l="1"/>
  <c r="K12" i="19"/>
  <c r="E12" i="19"/>
  <c r="C12" i="19"/>
  <c r="L10" i="19"/>
  <c r="L9" i="19"/>
  <c r="L8" i="19"/>
  <c r="L7" i="19"/>
  <c r="L6" i="19"/>
  <c r="L5" i="19"/>
  <c r="E13" i="19" l="1"/>
  <c r="L10" i="16"/>
  <c r="L9" i="16"/>
  <c r="L8" i="16"/>
  <c r="L7" i="16"/>
  <c r="L6" i="16"/>
  <c r="L5" i="16"/>
  <c r="J12" i="16"/>
  <c r="I12" i="16"/>
  <c r="D33" i="2"/>
  <c r="J62" i="16" l="1"/>
  <c r="J23" i="19"/>
  <c r="I24" i="19"/>
  <c r="J45" i="16"/>
  <c r="J29" i="16"/>
  <c r="J73" i="16"/>
  <c r="J22" i="19"/>
  <c r="J21" i="19"/>
  <c r="J72" i="20"/>
  <c r="J68" i="20"/>
  <c r="J64" i="20"/>
  <c r="J59" i="20"/>
  <c r="J55" i="20"/>
  <c r="J51" i="20"/>
  <c r="J47" i="20"/>
  <c r="J43" i="20"/>
  <c r="J39" i="20"/>
  <c r="J35" i="20"/>
  <c r="J31" i="20"/>
  <c r="J27" i="20"/>
  <c r="J23" i="20"/>
  <c r="J75" i="20"/>
  <c r="J71" i="20"/>
  <c r="J67" i="20"/>
  <c r="J63" i="20"/>
  <c r="J58" i="20"/>
  <c r="J54" i="20"/>
  <c r="J50" i="20"/>
  <c r="J46" i="20"/>
  <c r="J42" i="20"/>
  <c r="J38" i="20"/>
  <c r="J34" i="20"/>
  <c r="J30" i="20"/>
  <c r="J26" i="20"/>
  <c r="J22" i="20"/>
  <c r="J69" i="20"/>
  <c r="J65" i="20"/>
  <c r="J56" i="20"/>
  <c r="J48" i="20"/>
  <c r="J44" i="20"/>
  <c r="J36" i="20"/>
  <c r="J28" i="20"/>
  <c r="J74" i="20"/>
  <c r="J70" i="20"/>
  <c r="J66" i="20"/>
  <c r="J62" i="20"/>
  <c r="J57" i="20"/>
  <c r="J53" i="20"/>
  <c r="J49" i="20"/>
  <c r="J45" i="20"/>
  <c r="J41" i="20"/>
  <c r="J37" i="20"/>
  <c r="J33" i="20"/>
  <c r="J29" i="20"/>
  <c r="J25" i="20"/>
  <c r="J73" i="20"/>
  <c r="J61" i="20"/>
  <c r="J52" i="20"/>
  <c r="J40" i="20"/>
  <c r="J32" i="20"/>
  <c r="J24" i="20"/>
  <c r="J49" i="16"/>
  <c r="J25" i="16"/>
  <c r="J41" i="16"/>
  <c r="J57" i="16"/>
  <c r="J74" i="16"/>
  <c r="J33" i="16"/>
  <c r="J66" i="16"/>
  <c r="J37" i="16"/>
  <c r="J53" i="16"/>
  <c r="J70" i="16"/>
  <c r="J22" i="16"/>
  <c r="J26" i="16"/>
  <c r="J30" i="16"/>
  <c r="J34" i="16"/>
  <c r="J38" i="16"/>
  <c r="J42" i="16"/>
  <c r="J46" i="16"/>
  <c r="J50" i="16"/>
  <c r="J54" i="16"/>
  <c r="J58" i="16"/>
  <c r="J63" i="16"/>
  <c r="J67" i="16"/>
  <c r="J71" i="16"/>
  <c r="J75" i="16"/>
  <c r="J23" i="16"/>
  <c r="J27" i="16"/>
  <c r="J31" i="16"/>
  <c r="J35" i="16"/>
  <c r="J39" i="16"/>
  <c r="J43" i="16"/>
  <c r="J47" i="16"/>
  <c r="J51" i="16"/>
  <c r="J55" i="16"/>
  <c r="J59" i="16"/>
  <c r="J64" i="16"/>
  <c r="J68" i="16"/>
  <c r="J72" i="16"/>
  <c r="J24" i="16"/>
  <c r="J28" i="16"/>
  <c r="J32" i="16"/>
  <c r="J36" i="16"/>
  <c r="J40" i="16"/>
  <c r="J44" i="16"/>
  <c r="J48" i="16"/>
  <c r="J52" i="16"/>
  <c r="J56" i="16"/>
  <c r="J61" i="16"/>
  <c r="J65" i="16"/>
  <c r="J69" i="16"/>
  <c r="I25" i="19" l="1"/>
  <c r="J25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K24" i="19"/>
  <c r="L21" i="19"/>
  <c r="L22" i="19" s="1"/>
  <c r="L23" i="19" s="1"/>
  <c r="L24" i="19" s="1"/>
  <c r="N21" i="19"/>
  <c r="N22" i="19" s="1"/>
  <c r="L18" i="16"/>
  <c r="L19" i="16" s="1"/>
  <c r="L20" i="16" s="1"/>
  <c r="K18" i="16"/>
  <c r="K19" i="16" s="1"/>
  <c r="H14" i="16"/>
  <c r="K12" i="16"/>
  <c r="E12" i="16"/>
  <c r="D12" i="16"/>
  <c r="D13" i="16" s="1"/>
  <c r="C12" i="16"/>
  <c r="C13" i="16" s="1"/>
  <c r="L25" i="19" l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K25" i="19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E13" i="16"/>
  <c r="L18" i="14"/>
  <c r="L19" i="14" s="1"/>
  <c r="K18" i="14"/>
  <c r="K19" i="14" s="1"/>
  <c r="K20" i="14" s="1"/>
  <c r="K21" i="14" s="1"/>
  <c r="D25" i="2" l="1"/>
  <c r="I20" i="20" s="1"/>
  <c r="I21" i="20" l="1"/>
  <c r="J21" i="20" s="1"/>
  <c r="K20" i="20"/>
  <c r="J44" i="14"/>
  <c r="J40" i="14"/>
  <c r="J62" i="14"/>
  <c r="J58" i="14"/>
  <c r="J54" i="14"/>
  <c r="J50" i="14"/>
  <c r="J46" i="14"/>
  <c r="J35" i="14"/>
  <c r="J31" i="14"/>
  <c r="J27" i="14"/>
  <c r="H58" i="14"/>
  <c r="J51" i="14"/>
  <c r="J36" i="14"/>
  <c r="J28" i="14"/>
  <c r="J43" i="14"/>
  <c r="J39" i="14"/>
  <c r="J61" i="14"/>
  <c r="J57" i="14"/>
  <c r="J53" i="14"/>
  <c r="J49" i="14"/>
  <c r="J45" i="14"/>
  <c r="J34" i="14"/>
  <c r="J30" i="14"/>
  <c r="J26" i="14"/>
  <c r="J59" i="14"/>
  <c r="J32" i="14"/>
  <c r="J42" i="14"/>
  <c r="J38" i="14"/>
  <c r="J60" i="14"/>
  <c r="J56" i="14"/>
  <c r="J52" i="14"/>
  <c r="J48" i="14"/>
  <c r="J37" i="14"/>
  <c r="J33" i="14"/>
  <c r="J29" i="14"/>
  <c r="J25" i="14"/>
  <c r="J41" i="14"/>
  <c r="J55" i="14"/>
  <c r="J47" i="14"/>
  <c r="J24" i="14"/>
  <c r="K12" i="14"/>
  <c r="E12" i="14"/>
  <c r="I14" i="20" l="1"/>
  <c r="K21" i="20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N21" i="20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J14" i="20"/>
  <c r="L21" i="20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E13" i="14"/>
  <c r="L23" i="12"/>
  <c r="L15" i="12"/>
  <c r="L18" i="8" l="1"/>
  <c r="L19" i="8" s="1"/>
  <c r="K18" i="8"/>
  <c r="K19" i="8" s="1"/>
  <c r="N18" i="8" l="1"/>
  <c r="D18" i="2" l="1"/>
  <c r="I20" i="16" s="1"/>
  <c r="I21" i="16" l="1"/>
  <c r="J21" i="16" s="1"/>
  <c r="K20" i="16"/>
  <c r="J21" i="14"/>
  <c r="J20" i="14"/>
  <c r="H20" i="14"/>
  <c r="H14" i="14" s="1"/>
  <c r="J57" i="8"/>
  <c r="J56" i="8"/>
  <c r="J63" i="12"/>
  <c r="J59" i="12"/>
  <c r="J55" i="12"/>
  <c r="J51" i="12"/>
  <c r="J66" i="12"/>
  <c r="J62" i="12"/>
  <c r="J58" i="12"/>
  <c r="J54" i="12"/>
  <c r="J50" i="12"/>
  <c r="J65" i="12"/>
  <c r="J61" i="12"/>
  <c r="J57" i="12"/>
  <c r="J53" i="12"/>
  <c r="J64" i="12"/>
  <c r="J60" i="12"/>
  <c r="J56" i="12"/>
  <c r="J52" i="12"/>
  <c r="J53" i="8"/>
  <c r="J49" i="8"/>
  <c r="J45" i="8"/>
  <c r="J41" i="8"/>
  <c r="J52" i="8"/>
  <c r="J48" i="8"/>
  <c r="J44" i="8"/>
  <c r="J40" i="8"/>
  <c r="J55" i="8"/>
  <c r="J51" i="8"/>
  <c r="J47" i="8"/>
  <c r="J43" i="8"/>
  <c r="J39" i="8"/>
  <c r="J54" i="8"/>
  <c r="J50" i="8"/>
  <c r="J46" i="8"/>
  <c r="J42" i="8"/>
  <c r="H14" i="8"/>
  <c r="K12" i="8"/>
  <c r="E12" i="8"/>
  <c r="K21" i="16" l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N21" i="16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J14" i="16"/>
  <c r="L21" i="16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I14" i="16"/>
  <c r="N20" i="14"/>
  <c r="N21" i="14" s="1"/>
  <c r="L20" i="14"/>
  <c r="L21" i="14" s="1"/>
  <c r="E13" i="8"/>
  <c r="O25" i="1" l="1"/>
  <c r="Q12" i="5" l="1"/>
  <c r="P12" i="5"/>
  <c r="O12" i="5"/>
  <c r="K12" i="5"/>
  <c r="J12" i="5"/>
  <c r="I12" i="5"/>
  <c r="E12" i="5"/>
  <c r="D12" i="5"/>
  <c r="C12" i="5"/>
  <c r="D13" i="5" l="1"/>
  <c r="E13" i="5"/>
  <c r="C13" i="5"/>
  <c r="H31" i="1"/>
  <c r="H30" i="1"/>
  <c r="Q12" i="1" l="1"/>
  <c r="P12" i="1"/>
  <c r="O12" i="1"/>
  <c r="N5" i="2" l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l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E12" i="1"/>
  <c r="N54" i="2" l="1"/>
  <c r="N55" i="2" s="1"/>
  <c r="N56" i="2" s="1"/>
  <c r="N57" i="2" s="1"/>
  <c r="N58" i="2" s="1"/>
  <c r="N59" i="2" s="1"/>
  <c r="N60" i="2" s="1"/>
  <c r="N19" i="1"/>
  <c r="L18" i="1"/>
  <c r="L19" i="1" s="1"/>
  <c r="K18" i="1"/>
  <c r="K19" i="1" s="1"/>
  <c r="K20" i="1" s="1"/>
  <c r="K21" i="1" s="1"/>
  <c r="K22" i="1" s="1"/>
  <c r="K23" i="1" s="1"/>
  <c r="K24" i="1" s="1"/>
  <c r="D12" i="2"/>
  <c r="D6" i="2"/>
  <c r="K12" i="1"/>
  <c r="E13" i="1" s="1"/>
  <c r="J12" i="1"/>
  <c r="I12" i="1"/>
  <c r="N61" i="2" l="1"/>
  <c r="N62" i="2" s="1"/>
  <c r="N63" i="2" s="1"/>
  <c r="N64" i="2" s="1"/>
  <c r="N65" i="2" s="1"/>
  <c r="N66" i="2" s="1"/>
  <c r="N67" i="2" s="1"/>
  <c r="N68" i="2" s="1"/>
  <c r="N69" i="2" s="1"/>
  <c r="J46" i="12"/>
  <c r="J42" i="12"/>
  <c r="J38" i="12"/>
  <c r="J34" i="12"/>
  <c r="J45" i="12"/>
  <c r="J41" i="12"/>
  <c r="J37" i="12"/>
  <c r="J33" i="12"/>
  <c r="L33" i="12" s="1"/>
  <c r="I48" i="12"/>
  <c r="I49" i="12" s="1"/>
  <c r="J49" i="12" s="1"/>
  <c r="J44" i="12"/>
  <c r="J40" i="12"/>
  <c r="J36" i="12"/>
  <c r="J32" i="12"/>
  <c r="L32" i="12" s="1"/>
  <c r="J47" i="12"/>
  <c r="J43" i="12"/>
  <c r="J39" i="12"/>
  <c r="J35" i="12"/>
  <c r="H23" i="1"/>
  <c r="H14" i="1" s="1"/>
  <c r="J27" i="12"/>
  <c r="L27" i="12" s="1"/>
  <c r="J22" i="12"/>
  <c r="L22" i="12" s="1"/>
  <c r="J18" i="12"/>
  <c r="L18" i="12" s="1"/>
  <c r="I11" i="12"/>
  <c r="J6" i="12"/>
  <c r="J26" i="12"/>
  <c r="L26" i="12" s="1"/>
  <c r="J21" i="12"/>
  <c r="L21" i="12" s="1"/>
  <c r="J17" i="12"/>
  <c r="H9" i="12"/>
  <c r="J25" i="12"/>
  <c r="L25" i="12" s="1"/>
  <c r="J20" i="12"/>
  <c r="I15" i="12"/>
  <c r="I16" i="12" s="1"/>
  <c r="J16" i="12" s="1"/>
  <c r="L16" i="12" s="1"/>
  <c r="J8" i="12"/>
  <c r="L8" i="12" s="1"/>
  <c r="J28" i="12"/>
  <c r="L28" i="12" s="1"/>
  <c r="I23" i="12"/>
  <c r="I24" i="12" s="1"/>
  <c r="J24" i="12" s="1"/>
  <c r="L24" i="12" s="1"/>
  <c r="J19" i="12"/>
  <c r="L19" i="12" s="1"/>
  <c r="J14" i="12"/>
  <c r="L14" i="12" s="1"/>
  <c r="J7" i="12"/>
  <c r="J35" i="8"/>
  <c r="J31" i="8"/>
  <c r="J28" i="8"/>
  <c r="J24" i="8"/>
  <c r="J34" i="8"/>
  <c r="J30" i="8"/>
  <c r="J27" i="8"/>
  <c r="J23" i="8"/>
  <c r="J33" i="8"/>
  <c r="J26" i="8"/>
  <c r="J22" i="8"/>
  <c r="J36" i="8"/>
  <c r="J32" i="8"/>
  <c r="J29" i="8"/>
  <c r="J25" i="8"/>
  <c r="J21" i="8"/>
  <c r="N21" i="8" s="1"/>
  <c r="J21" i="1"/>
  <c r="J31" i="5"/>
  <c r="J25" i="5"/>
  <c r="J21" i="5"/>
  <c r="J30" i="5"/>
  <c r="J24" i="5"/>
  <c r="J20" i="5"/>
  <c r="I18" i="5"/>
  <c r="I19" i="5" s="1"/>
  <c r="J19" i="5" s="1"/>
  <c r="N19" i="5" s="1"/>
  <c r="J29" i="5"/>
  <c r="J23" i="5"/>
  <c r="J28" i="5"/>
  <c r="J22" i="5"/>
  <c r="I25" i="1"/>
  <c r="I14" i="1" s="1"/>
  <c r="J28" i="1"/>
  <c r="J20" i="1"/>
  <c r="L20" i="1" s="1"/>
  <c r="J22" i="1"/>
  <c r="D12" i="1"/>
  <c r="D13" i="1" s="1"/>
  <c r="C12" i="1"/>
  <c r="C13" i="1" s="1"/>
  <c r="N18" i="5"/>
  <c r="L18" i="5"/>
  <c r="N70" i="2" l="1"/>
  <c r="N71" i="2"/>
  <c r="N72" i="2" s="1"/>
  <c r="L21" i="1"/>
  <c r="L22" i="1" s="1"/>
  <c r="L23" i="1" s="1"/>
  <c r="L24" i="1" s="1"/>
  <c r="L25" i="1" s="1"/>
  <c r="L26" i="1" s="1"/>
  <c r="L27" i="1" s="1"/>
  <c r="L28" i="1" s="1"/>
  <c r="J14" i="1"/>
  <c r="L67" i="12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20" i="5"/>
  <c r="N21" i="5" s="1"/>
  <c r="N22" i="5" s="1"/>
  <c r="N23" i="5" s="1"/>
  <c r="N24" i="5" s="1"/>
  <c r="N25" i="5" s="1"/>
  <c r="N20" i="1"/>
  <c r="N21" i="1" s="1"/>
  <c r="N22" i="1" s="1"/>
  <c r="N23" i="1" s="1"/>
  <c r="N28" i="1" s="1"/>
  <c r="L19" i="5"/>
  <c r="K25" i="1"/>
  <c r="K26" i="1" s="1"/>
  <c r="K27" i="1" s="1"/>
  <c r="K28" i="1" s="1"/>
  <c r="K18" i="5"/>
  <c r="K19" i="5" s="1"/>
  <c r="N73" i="2" l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24" i="1"/>
  <c r="N25" i="1" s="1"/>
  <c r="K20" i="5"/>
  <c r="K21" i="5" s="1"/>
  <c r="K22" i="5" s="1"/>
  <c r="K23" i="5" s="1"/>
  <c r="K24" i="5" s="1"/>
  <c r="K25" i="5" s="1"/>
  <c r="N95" i="2" l="1"/>
  <c r="N96" i="2" s="1"/>
  <c r="N97" i="2" s="1"/>
  <c r="N98" i="2" s="1"/>
  <c r="N99" i="2" s="1"/>
  <c r="N100" i="2" s="1"/>
  <c r="N101" i="2" s="1"/>
  <c r="N102" i="2" s="1"/>
  <c r="N103" i="2" s="1"/>
  <c r="L20" i="5"/>
  <c r="L21" i="5" s="1"/>
  <c r="L22" i="5" s="1"/>
  <c r="L23" i="5" s="1"/>
  <c r="L24" i="5" s="1"/>
  <c r="L25" i="5" s="1"/>
  <c r="L26" i="5" s="1"/>
  <c r="H14" i="5"/>
  <c r="N26" i="5"/>
  <c r="I26" i="5"/>
  <c r="K26" i="5" s="1"/>
  <c r="N104" i="2" l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I27" i="5"/>
  <c r="J27" i="5" s="1"/>
  <c r="N153" i="2" l="1"/>
  <c r="N154" i="2" s="1"/>
  <c r="J14" i="5"/>
  <c r="N27" i="5"/>
  <c r="N28" i="5" s="1"/>
  <c r="N29" i="5" s="1"/>
  <c r="N30" i="5" s="1"/>
  <c r="N31" i="5" s="1"/>
  <c r="K27" i="5"/>
  <c r="K28" i="5" s="1"/>
  <c r="K29" i="5" s="1"/>
  <c r="K30" i="5" s="1"/>
  <c r="K31" i="5" s="1"/>
  <c r="L27" i="5"/>
  <c r="L28" i="5" s="1"/>
  <c r="L29" i="5" s="1"/>
  <c r="L30" i="5" s="1"/>
  <c r="L31" i="5" s="1"/>
  <c r="I14" i="5"/>
  <c r="I37" i="8"/>
  <c r="N155" i="2" l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I38" i="8"/>
  <c r="J38" i="8" s="1"/>
  <c r="N168" i="2" l="1"/>
  <c r="N169" i="2" s="1"/>
  <c r="N170" i="2" s="1"/>
  <c r="N171" i="2" s="1"/>
  <c r="I14" i="8"/>
  <c r="J14" i="8"/>
  <c r="N38" i="8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J12" i="8" l="1"/>
  <c r="I12" i="8"/>
  <c r="L20" i="8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D12" i="8"/>
  <c r="D13" i="8" s="1"/>
  <c r="C12" i="8"/>
  <c r="C13" i="8" s="1"/>
  <c r="L22" i="14"/>
  <c r="I22" i="14"/>
  <c r="K22" i="14" s="1"/>
  <c r="N22" i="14"/>
  <c r="I23" i="14" l="1"/>
  <c r="J23" i="14" l="1"/>
  <c r="I14" i="14"/>
  <c r="K23" i="14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N23" i="14" l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J14" i="14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N48" i="14" l="1"/>
  <c r="N49" i="14" s="1"/>
  <c r="N50" i="14" s="1"/>
  <c r="N51" i="14" s="1"/>
  <c r="N52" i="14" s="1"/>
  <c r="N53" i="14" s="1"/>
  <c r="N54" i="14" s="1"/>
  <c r="N55" i="14" s="1"/>
  <c r="N56" i="14" s="1"/>
  <c r="N57" i="14" s="1"/>
  <c r="N59" i="14" l="1"/>
  <c r="N60" i="14" s="1"/>
  <c r="N61" i="14" s="1"/>
  <c r="N62" i="14" s="1"/>
  <c r="I12" i="14"/>
  <c r="J12" i="14"/>
  <c r="C12" i="14"/>
  <c r="D12" i="14"/>
  <c r="D13" i="14" s="1"/>
  <c r="C13" i="14" l="1"/>
  <c r="N23" i="19" l="1"/>
  <c r="N24" i="19" s="1"/>
  <c r="I14" i="19" l="1"/>
  <c r="J14" i="19" l="1"/>
  <c r="D12" i="19" l="1"/>
  <c r="I12" i="19"/>
  <c r="C13" i="19" s="1"/>
  <c r="J12" i="19"/>
  <c r="D13" i="19" s="1"/>
  <c r="N20" i="23" l="1"/>
  <c r="I20" i="23"/>
  <c r="L20" i="23"/>
  <c r="K20" i="23" l="1"/>
  <c r="I21" i="23"/>
  <c r="I14" i="23" l="1"/>
  <c r="J21" i="23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L21" i="23" l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N21" i="23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J14" i="23"/>
  <c r="I12" i="29" l="1"/>
  <c r="C13" i="29" s="1"/>
  <c r="J12" i="29"/>
  <c r="D13" i="29" s="1"/>
  <c r="L21" i="29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K21" i="29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D12" i="33"/>
  <c r="D13" i="33" s="1"/>
  <c r="C12" i="33"/>
  <c r="C13" i="33" s="1"/>
  <c r="N24" i="37" l="1"/>
  <c r="I24" i="37"/>
  <c r="K24" i="37" s="1"/>
  <c r="L24" i="37"/>
  <c r="I25" i="37" l="1"/>
  <c r="J25" i="37" s="1"/>
  <c r="I14" i="37" l="1"/>
  <c r="N25" i="37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J14" i="37"/>
  <c r="L25" i="37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L67" i="37" s="1"/>
  <c r="L68" i="37" s="1"/>
  <c r="L69" i="37" s="1"/>
  <c r="K25" i="37"/>
  <c r="K26" i="37" s="1"/>
  <c r="K27" i="37" s="1"/>
  <c r="K28" i="37" s="1"/>
  <c r="K29" i="37" s="1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K67" i="37" s="1"/>
  <c r="K68" i="37" s="1"/>
  <c r="K69" i="37" s="1"/>
  <c r="C12" i="37"/>
  <c r="C13" i="37" s="1"/>
  <c r="D12" i="37"/>
  <c r="D13" i="37" s="1"/>
  <c r="I25" i="41" l="1"/>
  <c r="I14" i="41" l="1"/>
  <c r="I12" i="41" s="1"/>
  <c r="C13" i="41" s="1"/>
  <c r="J25" i="41"/>
  <c r="J14" i="41" s="1"/>
  <c r="J12" i="41" s="1"/>
  <c r="D13" i="41" s="1"/>
  <c r="N25" i="41" l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36" i="41" s="1"/>
  <c r="N37" i="41" s="1"/>
  <c r="N38" i="41" s="1"/>
  <c r="N39" i="41" s="1"/>
  <c r="N40" i="41" s="1"/>
  <c r="N41" i="41" s="1"/>
  <c r="N42" i="41" s="1"/>
  <c r="N43" i="41" s="1"/>
  <c r="N44" i="41" s="1"/>
  <c r="N45" i="41" s="1"/>
  <c r="N46" i="41" s="1"/>
  <c r="N47" i="41" s="1"/>
  <c r="N48" i="41" s="1"/>
  <c r="N49" i="41" s="1"/>
  <c r="N50" i="41" s="1"/>
  <c r="N51" i="41" s="1"/>
  <c r="N52" i="41" s="1"/>
  <c r="N53" i="41" s="1"/>
  <c r="N54" i="41" s="1"/>
  <c r="N55" i="41" s="1"/>
  <c r="N56" i="41" s="1"/>
  <c r="N57" i="41" s="1"/>
  <c r="N58" i="41" s="1"/>
  <c r="N59" i="41" s="1"/>
  <c r="N60" i="41" s="1"/>
  <c r="N61" i="41" s="1"/>
  <c r="N62" i="41" s="1"/>
  <c r="N63" i="41" s="1"/>
  <c r="N64" i="41" s="1"/>
  <c r="N65" i="41" s="1"/>
  <c r="N66" i="41" s="1"/>
  <c r="N67" i="41" s="1"/>
  <c r="N68" i="41" s="1"/>
  <c r="N69" i="41" s="1"/>
  <c r="N70" i="41" s="1"/>
  <c r="L18" i="4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L54" i="41" s="1"/>
  <c r="L55" i="41" s="1"/>
  <c r="L56" i="41" s="1"/>
  <c r="L57" i="41" s="1"/>
  <c r="L58" i="41" s="1"/>
  <c r="L59" i="41" s="1"/>
  <c r="L60" i="41" s="1"/>
  <c r="L61" i="41" s="1"/>
  <c r="L62" i="41" s="1"/>
  <c r="L63" i="41" s="1"/>
  <c r="L64" i="41" s="1"/>
  <c r="L65" i="41" s="1"/>
  <c r="L66" i="41" s="1"/>
  <c r="L67" i="41" s="1"/>
  <c r="L68" i="41" s="1"/>
  <c r="L69" i="41" s="1"/>
  <c r="L70" i="41" s="1"/>
  <c r="K18" i="4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K54" i="41" s="1"/>
  <c r="K55" i="41" s="1"/>
  <c r="K56" i="41" s="1"/>
  <c r="K57" i="41" s="1"/>
  <c r="K58" i="41" s="1"/>
  <c r="K59" i="41" s="1"/>
  <c r="K60" i="41" s="1"/>
  <c r="K61" i="41" s="1"/>
  <c r="K62" i="41" s="1"/>
  <c r="K63" i="41" s="1"/>
  <c r="K64" i="41" s="1"/>
  <c r="K65" i="41" s="1"/>
  <c r="K66" i="41" s="1"/>
  <c r="K67" i="41" s="1"/>
  <c r="K68" i="41" s="1"/>
  <c r="K69" i="41" s="1"/>
  <c r="K70" i="41" s="1"/>
  <c r="N18" i="41"/>
  <c r="N21" i="41" s="1"/>
  <c r="N22" i="41" s="1"/>
  <c r="N23" i="41" s="1"/>
  <c r="N24" i="41" s="1"/>
  <c r="N29" i="43" l="1"/>
  <c r="I29" i="43"/>
  <c r="K29" i="43" s="1"/>
  <c r="L29" i="43"/>
  <c r="I30" i="43" l="1"/>
  <c r="J30" i="43" s="1"/>
  <c r="I16" i="43" l="1"/>
  <c r="I12" i="43" s="1"/>
  <c r="C13" i="43" s="1"/>
  <c r="C15" i="43" s="1"/>
  <c r="N30" i="43"/>
  <c r="N31" i="43" s="1"/>
  <c r="N32" i="43" s="1"/>
  <c r="N33" i="43" s="1"/>
  <c r="N34" i="43" s="1"/>
  <c r="N35" i="43" s="1"/>
  <c r="N36" i="43" s="1"/>
  <c r="N37" i="43" s="1"/>
  <c r="N38" i="43" s="1"/>
  <c r="N39" i="43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J16" i="43"/>
  <c r="J12" i="43" s="1"/>
  <c r="D13" i="43" s="1"/>
  <c r="D15" i="43" s="1"/>
  <c r="L30" i="43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L52" i="43" s="1"/>
  <c r="L53" i="43" s="1"/>
  <c r="L54" i="43" s="1"/>
  <c r="L55" i="43" s="1"/>
  <c r="L56" i="43" s="1"/>
  <c r="L57" i="43" s="1"/>
  <c r="L58" i="43" s="1"/>
  <c r="L59" i="43" s="1"/>
  <c r="L60" i="43" s="1"/>
  <c r="L61" i="43" s="1"/>
  <c r="L62" i="43" s="1"/>
  <c r="L63" i="43" s="1"/>
  <c r="L64" i="43" s="1"/>
  <c r="L65" i="43" s="1"/>
  <c r="L66" i="43" s="1"/>
  <c r="L67" i="43" s="1"/>
  <c r="L68" i="43" s="1"/>
  <c r="L69" i="43" s="1"/>
  <c r="L70" i="43" s="1"/>
  <c r="L71" i="43" s="1"/>
  <c r="L72" i="43" s="1"/>
  <c r="L73" i="43" s="1"/>
  <c r="L74" i="43" s="1"/>
  <c r="L75" i="43" s="1"/>
  <c r="L76" i="43" s="1"/>
  <c r="L77" i="43" s="1"/>
  <c r="L78" i="43" s="1"/>
  <c r="L79" i="43" s="1"/>
  <c r="L80" i="43" s="1"/>
  <c r="L81" i="43" s="1"/>
  <c r="K30" i="43"/>
  <c r="K31" i="43" s="1"/>
  <c r="K32" i="43" s="1"/>
  <c r="K33" i="43" s="1"/>
  <c r="K34" i="43" s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4" i="43" s="1"/>
  <c r="K55" i="43" s="1"/>
  <c r="K56" i="43" s="1"/>
  <c r="K57" i="43" s="1"/>
  <c r="K58" i="43" s="1"/>
  <c r="K59" i="43" s="1"/>
  <c r="K60" i="43" s="1"/>
  <c r="K61" i="43" s="1"/>
  <c r="K62" i="43" s="1"/>
  <c r="K63" i="43" s="1"/>
  <c r="K64" i="43" s="1"/>
  <c r="K65" i="43" s="1"/>
  <c r="K66" i="43" s="1"/>
  <c r="K67" i="43" s="1"/>
  <c r="K68" i="43" s="1"/>
  <c r="K69" i="43" s="1"/>
  <c r="K70" i="43" s="1"/>
  <c r="K71" i="43" s="1"/>
  <c r="K72" i="43" s="1"/>
  <c r="K73" i="43" s="1"/>
  <c r="K74" i="43" s="1"/>
  <c r="K75" i="43" s="1"/>
  <c r="K76" i="43" s="1"/>
  <c r="K77" i="43" s="1"/>
  <c r="K78" i="43" s="1"/>
  <c r="K79" i="43" s="1"/>
  <c r="K80" i="43" s="1"/>
  <c r="K81" i="43" s="1"/>
  <c r="I32" i="46" l="1"/>
  <c r="I33" i="46" s="1"/>
  <c r="J33" i="46" s="1"/>
  <c r="J16" i="46" s="1"/>
  <c r="N33" i="46" l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N44" i="46" s="1"/>
  <c r="N45" i="46" s="1"/>
  <c r="N46" i="46" s="1"/>
  <c r="N47" i="46" s="1"/>
  <c r="N48" i="46" s="1"/>
  <c r="N49" i="46" s="1"/>
  <c r="N50" i="46" s="1"/>
  <c r="N51" i="46" s="1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L33" i="46"/>
  <c r="L34" i="46" s="1"/>
  <c r="L35" i="46" s="1"/>
  <c r="L36" i="46" s="1"/>
  <c r="L37" i="46" s="1"/>
  <c r="L38" i="46" s="1"/>
  <c r="L39" i="46" s="1"/>
  <c r="L40" i="46" s="1"/>
  <c r="L41" i="46" s="1"/>
  <c r="L42" i="46" s="1"/>
  <c r="L43" i="46" s="1"/>
  <c r="L44" i="46" s="1"/>
  <c r="L45" i="46" s="1"/>
  <c r="L46" i="46" s="1"/>
  <c r="L47" i="46" s="1"/>
  <c r="L48" i="46" s="1"/>
  <c r="L49" i="46" s="1"/>
  <c r="L50" i="46" s="1"/>
  <c r="L51" i="46" s="1"/>
  <c r="L52" i="46" s="1"/>
  <c r="L53" i="46" s="1"/>
  <c r="L54" i="46" s="1"/>
  <c r="L55" i="46" s="1"/>
  <c r="L56" i="46" s="1"/>
  <c r="L57" i="46" s="1"/>
  <c r="L58" i="46" s="1"/>
  <c r="L59" i="46" s="1"/>
  <c r="L60" i="46" s="1"/>
  <c r="L61" i="46" s="1"/>
  <c r="L62" i="46" s="1"/>
  <c r="L63" i="46" s="1"/>
  <c r="L64" i="46" s="1"/>
  <c r="L65" i="46" s="1"/>
  <c r="L66" i="46" s="1"/>
  <c r="L67" i="46" s="1"/>
  <c r="L68" i="46" s="1"/>
  <c r="L69" i="46" s="1"/>
  <c r="L70" i="46" s="1"/>
  <c r="L71" i="46" s="1"/>
  <c r="L72" i="46" s="1"/>
  <c r="L73" i="46" s="1"/>
  <c r="L74" i="46" s="1"/>
  <c r="L75" i="46" s="1"/>
  <c r="L76" i="46" s="1"/>
  <c r="L77" i="46" s="1"/>
  <c r="L78" i="46" s="1"/>
  <c r="L79" i="46" s="1"/>
  <c r="L80" i="46" s="1"/>
  <c r="L81" i="46" s="1"/>
  <c r="L82" i="46" s="1"/>
  <c r="I16" i="46"/>
  <c r="K32" i="46"/>
  <c r="K33" i="46" s="1"/>
  <c r="K34" i="46" s="1"/>
  <c r="K35" i="46" s="1"/>
  <c r="K36" i="46" s="1"/>
  <c r="K37" i="46" s="1"/>
  <c r="K38" i="46" s="1"/>
  <c r="K39" i="46" s="1"/>
  <c r="K40" i="46" s="1"/>
  <c r="K41" i="46" s="1"/>
  <c r="K42" i="46" s="1"/>
  <c r="K43" i="46" s="1"/>
  <c r="K44" i="46" s="1"/>
  <c r="K45" i="46" s="1"/>
  <c r="K46" i="46" s="1"/>
  <c r="K47" i="46" s="1"/>
  <c r="K48" i="46" s="1"/>
  <c r="K49" i="46" s="1"/>
  <c r="K50" i="46" s="1"/>
  <c r="K51" i="46" s="1"/>
  <c r="K52" i="46" s="1"/>
  <c r="K53" i="46" s="1"/>
  <c r="K54" i="46" s="1"/>
  <c r="K55" i="46" s="1"/>
  <c r="K56" i="46" s="1"/>
  <c r="K57" i="46" s="1"/>
  <c r="K58" i="46" s="1"/>
  <c r="K59" i="46" s="1"/>
  <c r="K60" i="46" s="1"/>
  <c r="K61" i="46" s="1"/>
  <c r="K62" i="46" s="1"/>
  <c r="K63" i="46" s="1"/>
  <c r="K64" i="46" s="1"/>
  <c r="K65" i="46" s="1"/>
  <c r="K66" i="46" s="1"/>
  <c r="K67" i="46" s="1"/>
  <c r="K68" i="46" s="1"/>
  <c r="K69" i="46" s="1"/>
  <c r="K70" i="46" s="1"/>
  <c r="K71" i="46" s="1"/>
  <c r="K72" i="46" s="1"/>
  <c r="K73" i="46" s="1"/>
  <c r="K74" i="46" s="1"/>
  <c r="K75" i="46" s="1"/>
  <c r="K76" i="46" s="1"/>
  <c r="K77" i="46" s="1"/>
  <c r="K78" i="46" s="1"/>
  <c r="K79" i="46" s="1"/>
  <c r="K80" i="46" s="1"/>
  <c r="K81" i="46" s="1"/>
  <c r="K82" i="46" s="1"/>
  <c r="N22" i="46" l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15" i="46" s="1"/>
  <c r="D12" i="52" l="1"/>
  <c r="D13" i="52" s="1"/>
  <c r="C12" i="52"/>
  <c r="C13" i="52" s="1"/>
  <c r="C12" i="56" l="1"/>
  <c r="D12" i="56"/>
  <c r="I12" i="56"/>
  <c r="J12" i="56"/>
  <c r="D13" i="56" l="1"/>
  <c r="C13" i="56"/>
  <c r="I16" i="60" l="1"/>
  <c r="I12" i="60"/>
  <c r="J12" i="60"/>
  <c r="C12" i="60"/>
  <c r="C13" i="60" s="1"/>
  <c r="C15" i="60" s="1"/>
  <c r="D12" i="60"/>
  <c r="D13" i="60" s="1"/>
  <c r="D15" i="60" s="1"/>
  <c r="D12" i="63" l="1"/>
  <c r="D13" i="63" s="1"/>
  <c r="C12" i="63"/>
  <c r="C13" i="63" s="1"/>
  <c r="P12" i="63" l="1"/>
  <c r="O12" i="63"/>
  <c r="L33" i="68"/>
  <c r="N33" i="68"/>
  <c r="I33" i="68"/>
  <c r="I34" i="68" s="1"/>
  <c r="I16" i="68" l="1"/>
  <c r="J34" i="68"/>
  <c r="L34" i="68" s="1"/>
  <c r="L35" i="68" s="1"/>
  <c r="L36" i="68" s="1"/>
  <c r="L37" i="68" s="1"/>
  <c r="L38" i="68" s="1"/>
  <c r="L39" i="68" s="1"/>
  <c r="L40" i="68" s="1"/>
  <c r="L41" i="68" s="1"/>
  <c r="L42" i="68" s="1"/>
  <c r="L43" i="68" s="1"/>
  <c r="L44" i="68" s="1"/>
  <c r="L45" i="68" s="1"/>
  <c r="L46" i="68" s="1"/>
  <c r="L47" i="68" s="1"/>
  <c r="L48" i="68" s="1"/>
  <c r="L49" i="68" s="1"/>
  <c r="L50" i="68" s="1"/>
  <c r="L51" i="68" s="1"/>
  <c r="L52" i="68" s="1"/>
  <c r="L53" i="68" s="1"/>
  <c r="L54" i="68" s="1"/>
  <c r="L55" i="68" s="1"/>
  <c r="L56" i="68" s="1"/>
  <c r="L57" i="68" s="1"/>
  <c r="L58" i="68" s="1"/>
  <c r="L59" i="68" s="1"/>
  <c r="L60" i="68" s="1"/>
  <c r="L61" i="68" s="1"/>
  <c r="L62" i="68" s="1"/>
  <c r="L63" i="68" s="1"/>
  <c r="L64" i="68" s="1"/>
  <c r="L65" i="68" s="1"/>
  <c r="L66" i="68" s="1"/>
  <c r="L67" i="68" s="1"/>
  <c r="L68" i="68" s="1"/>
  <c r="L69" i="68" s="1"/>
  <c r="L70" i="68" s="1"/>
  <c r="L71" i="68" s="1"/>
  <c r="L72" i="68" s="1"/>
  <c r="L73" i="68" s="1"/>
  <c r="L74" i="68" s="1"/>
  <c r="L75" i="68" s="1"/>
  <c r="L76" i="68" s="1"/>
  <c r="L77" i="68" s="1"/>
  <c r="L78" i="68" s="1"/>
  <c r="L79" i="68" s="1"/>
  <c r="L80" i="68" s="1"/>
  <c r="L81" i="68" s="1"/>
  <c r="L82" i="68" s="1"/>
  <c r="L83" i="68" s="1"/>
  <c r="L84" i="68" s="1"/>
  <c r="L85" i="68" s="1"/>
  <c r="L86" i="68" s="1"/>
  <c r="L87" i="68" s="1"/>
  <c r="L88" i="68" s="1"/>
  <c r="L89" i="68" s="1"/>
  <c r="L90" i="68" s="1"/>
  <c r="L91" i="68" s="1"/>
  <c r="L92" i="68" s="1"/>
  <c r="K33" i="68"/>
  <c r="K34" i="68" s="1"/>
  <c r="K35" i="68" s="1"/>
  <c r="K36" i="68" s="1"/>
  <c r="K37" i="68" s="1"/>
  <c r="K38" i="68" s="1"/>
  <c r="K39" i="68" s="1"/>
  <c r="K40" i="68" s="1"/>
  <c r="K41" i="68" s="1"/>
  <c r="K42" i="68" s="1"/>
  <c r="K43" i="68" s="1"/>
  <c r="K44" i="68" s="1"/>
  <c r="K45" i="68" s="1"/>
  <c r="K46" i="68" s="1"/>
  <c r="K47" i="68" s="1"/>
  <c r="K48" i="68" s="1"/>
  <c r="K49" i="68" s="1"/>
  <c r="K50" i="68" s="1"/>
  <c r="K51" i="68" s="1"/>
  <c r="K52" i="68" s="1"/>
  <c r="K53" i="68" s="1"/>
  <c r="K54" i="68" s="1"/>
  <c r="K55" i="68" s="1"/>
  <c r="K56" i="68" s="1"/>
  <c r="K57" i="68" s="1"/>
  <c r="K58" i="68" s="1"/>
  <c r="K59" i="68" s="1"/>
  <c r="K60" i="68" s="1"/>
  <c r="K61" i="68" s="1"/>
  <c r="K62" i="68" s="1"/>
  <c r="K63" i="68" s="1"/>
  <c r="K64" i="68" s="1"/>
  <c r="K65" i="68" s="1"/>
  <c r="K66" i="68" s="1"/>
  <c r="K67" i="68" s="1"/>
  <c r="K68" i="68" s="1"/>
  <c r="K69" i="68" s="1"/>
  <c r="K70" i="68" s="1"/>
  <c r="K71" i="68" s="1"/>
  <c r="K72" i="68" s="1"/>
  <c r="K73" i="68" s="1"/>
  <c r="K74" i="68" s="1"/>
  <c r="K75" i="68" s="1"/>
  <c r="K76" i="68" s="1"/>
  <c r="K77" i="68" s="1"/>
  <c r="K78" i="68" s="1"/>
  <c r="K79" i="68" s="1"/>
  <c r="K80" i="68" s="1"/>
  <c r="K81" i="68" s="1"/>
  <c r="K82" i="68" s="1"/>
  <c r="K83" i="68" s="1"/>
  <c r="K84" i="68" s="1"/>
  <c r="K85" i="68" s="1"/>
  <c r="K86" i="68" s="1"/>
  <c r="K87" i="68" s="1"/>
  <c r="K88" i="68" s="1"/>
  <c r="K89" i="68" s="1"/>
  <c r="K90" i="68" s="1"/>
  <c r="K91" i="68" s="1"/>
  <c r="K92" i="68" s="1"/>
  <c r="N34" i="68" l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J16" i="68"/>
  <c r="I12" i="68" l="1"/>
  <c r="J12" i="68"/>
  <c r="C13" i="68" l="1"/>
  <c r="D13" i="68"/>
  <c r="N80" i="70" l="1"/>
  <c r="I80" i="70"/>
  <c r="I81" i="70" l="1"/>
  <c r="K80" i="70"/>
  <c r="K81" i="70" l="1"/>
  <c r="K82" i="70" s="1"/>
  <c r="K83" i="70" s="1"/>
  <c r="K84" i="70" s="1"/>
  <c r="K85" i="70" s="1"/>
  <c r="K86" i="70" s="1"/>
  <c r="K87" i="70" s="1"/>
  <c r="K88" i="70" s="1"/>
  <c r="K89" i="70" s="1"/>
  <c r="K90" i="70" s="1"/>
  <c r="K91" i="70" s="1"/>
  <c r="K92" i="70" s="1"/>
  <c r="K93" i="70" s="1"/>
  <c r="K94" i="70" s="1"/>
  <c r="K95" i="70" s="1"/>
  <c r="K96" i="70" s="1"/>
  <c r="K97" i="70" s="1"/>
  <c r="K98" i="70" s="1"/>
  <c r="K99" i="70" s="1"/>
  <c r="I16" i="70"/>
  <c r="J81" i="70"/>
  <c r="J16" i="70" s="1"/>
  <c r="N81" i="70" l="1"/>
  <c r="N82" i="70" s="1"/>
  <c r="N83" i="70" s="1"/>
  <c r="N84" i="70" s="1"/>
  <c r="N85" i="70" s="1"/>
  <c r="N86" i="70" s="1"/>
  <c r="N87" i="70" s="1"/>
  <c r="N88" i="70" s="1"/>
  <c r="N89" i="70" s="1"/>
  <c r="N90" i="70" s="1"/>
  <c r="N91" i="70" s="1"/>
  <c r="N92" i="70" s="1"/>
  <c r="N93" i="70" s="1"/>
  <c r="N94" i="70" s="1"/>
  <c r="N95" i="70" s="1"/>
  <c r="N96" i="70" s="1"/>
  <c r="N97" i="70" s="1"/>
  <c r="N98" i="70" s="1"/>
  <c r="N99" i="70" s="1"/>
  <c r="L81" i="70"/>
  <c r="L82" i="70" s="1"/>
  <c r="L83" i="70" s="1"/>
  <c r="L84" i="70" s="1"/>
  <c r="L85" i="70" s="1"/>
  <c r="L86" i="70" s="1"/>
  <c r="L87" i="70" s="1"/>
  <c r="L88" i="70" s="1"/>
  <c r="L89" i="70" s="1"/>
  <c r="L90" i="70" s="1"/>
  <c r="L91" i="70" s="1"/>
  <c r="L92" i="70" s="1"/>
  <c r="L93" i="70" s="1"/>
  <c r="L94" i="70" s="1"/>
  <c r="L95" i="70" s="1"/>
  <c r="L96" i="70" s="1"/>
  <c r="L97" i="70" s="1"/>
  <c r="L98" i="70" s="1"/>
  <c r="L99" i="70" s="1"/>
  <c r="I12" i="70" l="1"/>
  <c r="C13" i="70" s="1"/>
  <c r="J12" i="70"/>
  <c r="D12" i="70" l="1"/>
  <c r="D13" i="70" s="1"/>
  <c r="N118" i="74" l="1"/>
  <c r="N119" i="74" s="1"/>
  <c r="J12" i="74"/>
  <c r="I12" i="74"/>
  <c r="D12" i="74" l="1"/>
  <c r="D13" i="74" s="1"/>
  <c r="D14" i="74" s="1"/>
  <c r="C12" i="74"/>
  <c r="C13" i="74" s="1"/>
  <c r="C14" i="74" s="1"/>
  <c r="F6" i="82"/>
  <c r="M6" i="82" s="1"/>
  <c r="F8" i="82"/>
  <c r="M8" i="82" s="1"/>
  <c r="D13" i="82" l="1"/>
  <c r="F10" i="82"/>
  <c r="F13" i="82" s="1"/>
  <c r="E13" i="82"/>
  <c r="L10" i="82" l="1"/>
  <c r="M10" i="82" s="1"/>
  <c r="J13" i="82" l="1"/>
  <c r="M5" i="82"/>
  <c r="K13" i="82"/>
  <c r="K14" i="82" s="1"/>
  <c r="G12" i="82" l="1"/>
  <c r="L13" i="82"/>
  <c r="G13" i="82" l="1"/>
  <c r="G11" i="82" s="1"/>
  <c r="M13" i="82"/>
  <c r="L14" i="82"/>
  <c r="S25" i="86"/>
  <c r="O25" i="86"/>
  <c r="K25" i="86"/>
  <c r="N25" i="86" s="1"/>
  <c r="K26" i="86" l="1"/>
  <c r="M26" i="86" s="1"/>
  <c r="S26" i="86" s="1"/>
  <c r="S27" i="86" s="1"/>
  <c r="S28" i="86" s="1"/>
  <c r="S29" i="86" s="1"/>
  <c r="S30" i="86" s="1"/>
  <c r="S31" i="86" s="1"/>
  <c r="S32" i="86" s="1"/>
  <c r="S33" i="86" s="1"/>
  <c r="S34" i="86" s="1"/>
  <c r="S35" i="86" s="1"/>
  <c r="S36" i="86" s="1"/>
  <c r="S37" i="86" s="1"/>
  <c r="S38" i="86" s="1"/>
  <c r="S39" i="86" s="1"/>
  <c r="S40" i="86" s="1"/>
  <c r="S41" i="86" s="1"/>
  <c r="S42" i="86" s="1"/>
  <c r="S43" i="86" s="1"/>
  <c r="S44" i="86" s="1"/>
  <c r="S45" i="86" s="1"/>
  <c r="S46" i="86" s="1"/>
  <c r="S47" i="86" s="1"/>
  <c r="S48" i="86" s="1"/>
  <c r="S49" i="86" s="1"/>
  <c r="S50" i="86" s="1"/>
  <c r="S51" i="86" s="1"/>
  <c r="S52" i="86" s="1"/>
  <c r="S53" i="86" s="1"/>
  <c r="S54" i="86" s="1"/>
  <c r="S55" i="86" s="1"/>
  <c r="S56" i="86" s="1"/>
  <c r="S57" i="86" s="1"/>
  <c r="S58" i="86" s="1"/>
  <c r="S59" i="86" s="1"/>
  <c r="S60" i="86" s="1"/>
  <c r="S61" i="86" s="1"/>
  <c r="S62" i="86" s="1"/>
  <c r="S63" i="86" s="1"/>
  <c r="S64" i="86" s="1"/>
  <c r="S65" i="86" s="1"/>
  <c r="S66" i="86" s="1"/>
  <c r="S67" i="86" s="1"/>
  <c r="S68" i="86" s="1"/>
  <c r="S69" i="86" s="1"/>
  <c r="S70" i="86" s="1"/>
  <c r="S71" i="86" s="1"/>
  <c r="S72" i="86" s="1"/>
  <c r="S73" i="86" s="1"/>
  <c r="S74" i="86" s="1"/>
  <c r="S75" i="86" s="1"/>
  <c r="S76" i="86" s="1"/>
  <c r="S77" i="86" s="1"/>
  <c r="S78" i="86" s="1"/>
  <c r="S79" i="86" s="1"/>
  <c r="S80" i="86" s="1"/>
  <c r="S81" i="86" s="1"/>
  <c r="S82" i="86" s="1"/>
  <c r="S83" i="86" s="1"/>
  <c r="S84" i="86" s="1"/>
  <c r="S85" i="86" s="1"/>
  <c r="S86" i="86" s="1"/>
  <c r="S87" i="86" s="1"/>
  <c r="S88" i="86" s="1"/>
  <c r="S89" i="86" s="1"/>
  <c r="S90" i="86" s="1"/>
  <c r="S91" i="86" s="1"/>
  <c r="S92" i="86" s="1"/>
  <c r="S93" i="86" s="1"/>
  <c r="S94" i="86" s="1"/>
  <c r="O26" i="86" l="1"/>
  <c r="O27" i="86" s="1"/>
  <c r="O28" i="86" s="1"/>
  <c r="O29" i="86" s="1"/>
  <c r="O30" i="86" s="1"/>
  <c r="O31" i="86" s="1"/>
  <c r="O32" i="86" s="1"/>
  <c r="O33" i="86" s="1"/>
  <c r="O34" i="86" s="1"/>
  <c r="O35" i="86" s="1"/>
  <c r="O36" i="86" s="1"/>
  <c r="O37" i="86" s="1"/>
  <c r="O38" i="86" s="1"/>
  <c r="O39" i="86" s="1"/>
  <c r="O40" i="86" s="1"/>
  <c r="O41" i="86" s="1"/>
  <c r="O42" i="86" s="1"/>
  <c r="O43" i="86" s="1"/>
  <c r="O44" i="86" s="1"/>
  <c r="O45" i="86" s="1"/>
  <c r="O46" i="86" s="1"/>
  <c r="O47" i="86" s="1"/>
  <c r="O48" i="86" s="1"/>
  <c r="O49" i="86" s="1"/>
  <c r="O50" i="86" s="1"/>
  <c r="O51" i="86" s="1"/>
  <c r="O52" i="86" s="1"/>
  <c r="O53" i="86" s="1"/>
  <c r="O54" i="86" s="1"/>
  <c r="O55" i="86" s="1"/>
  <c r="O56" i="86" s="1"/>
  <c r="O57" i="86" s="1"/>
  <c r="O58" i="86" s="1"/>
  <c r="O59" i="86" s="1"/>
  <c r="O60" i="86" s="1"/>
  <c r="O61" i="86" s="1"/>
  <c r="O62" i="86" s="1"/>
  <c r="O63" i="86" s="1"/>
  <c r="O64" i="86" s="1"/>
  <c r="O65" i="86" s="1"/>
  <c r="O66" i="86" s="1"/>
  <c r="O67" i="86" s="1"/>
  <c r="O68" i="86" s="1"/>
  <c r="O69" i="86" s="1"/>
  <c r="O70" i="86" s="1"/>
  <c r="O71" i="86" s="1"/>
  <c r="O72" i="86" s="1"/>
  <c r="O73" i="86" s="1"/>
  <c r="O74" i="86" s="1"/>
  <c r="O75" i="86" s="1"/>
  <c r="O76" i="86" s="1"/>
  <c r="O77" i="86" s="1"/>
  <c r="O78" i="86" s="1"/>
  <c r="O79" i="86" s="1"/>
  <c r="O80" i="86" s="1"/>
  <c r="O81" i="86" s="1"/>
  <c r="O82" i="86" s="1"/>
  <c r="O83" i="86" s="1"/>
  <c r="O84" i="86" s="1"/>
  <c r="O85" i="86" s="1"/>
  <c r="O86" i="86" s="1"/>
  <c r="O87" i="86" s="1"/>
  <c r="O88" i="86" s="1"/>
  <c r="O89" i="86" s="1"/>
  <c r="O90" i="86" s="1"/>
  <c r="O91" i="86" s="1"/>
  <c r="O92" i="86" s="1"/>
  <c r="O93" i="86" s="1"/>
  <c r="O94" i="86" s="1"/>
  <c r="N26" i="86"/>
  <c r="N27" i="86" s="1"/>
  <c r="N28" i="86" s="1"/>
  <c r="N29" i="86" s="1"/>
  <c r="N30" i="86" s="1"/>
  <c r="N31" i="86" s="1"/>
  <c r="N32" i="86" s="1"/>
  <c r="N33" i="86" s="1"/>
  <c r="N34" i="86" s="1"/>
  <c r="N35" i="86" s="1"/>
  <c r="N36" i="86" s="1"/>
  <c r="N37" i="86" s="1"/>
  <c r="N38" i="86" s="1"/>
  <c r="N39" i="86" s="1"/>
  <c r="N40" i="86" s="1"/>
  <c r="N41" i="86" s="1"/>
  <c r="N42" i="86" s="1"/>
  <c r="N43" i="86" s="1"/>
  <c r="N44" i="86" s="1"/>
  <c r="N45" i="86" s="1"/>
  <c r="N46" i="86" s="1"/>
  <c r="N47" i="86" s="1"/>
  <c r="N48" i="86" s="1"/>
  <c r="N49" i="86" s="1"/>
  <c r="N50" i="86" s="1"/>
  <c r="N51" i="86" s="1"/>
  <c r="N52" i="86" s="1"/>
  <c r="N53" i="86" s="1"/>
  <c r="N54" i="86" s="1"/>
  <c r="N55" i="86" s="1"/>
  <c r="N56" i="86" s="1"/>
  <c r="N57" i="86" s="1"/>
  <c r="N58" i="86" s="1"/>
  <c r="N59" i="86" s="1"/>
  <c r="N60" i="86" s="1"/>
  <c r="N61" i="86" s="1"/>
  <c r="N62" i="86" s="1"/>
  <c r="N63" i="86" s="1"/>
  <c r="N64" i="86" s="1"/>
  <c r="N65" i="86" s="1"/>
  <c r="N66" i="86" s="1"/>
  <c r="N67" i="86" s="1"/>
  <c r="N68" i="86" s="1"/>
  <c r="N69" i="86" s="1"/>
  <c r="N70" i="86" s="1"/>
  <c r="N71" i="86" s="1"/>
  <c r="N72" i="86" s="1"/>
  <c r="N73" i="86" s="1"/>
  <c r="N74" i="86" s="1"/>
  <c r="N75" i="86" s="1"/>
  <c r="N76" i="86" s="1"/>
  <c r="N77" i="86" s="1"/>
  <c r="N78" i="86" s="1"/>
  <c r="N79" i="86" s="1"/>
  <c r="N80" i="86" s="1"/>
  <c r="N81" i="86" s="1"/>
  <c r="N82" i="86" s="1"/>
  <c r="N83" i="86" s="1"/>
  <c r="N84" i="86" s="1"/>
  <c r="N85" i="86" s="1"/>
  <c r="N86" i="86" s="1"/>
  <c r="N87" i="86" s="1"/>
  <c r="N88" i="86" s="1"/>
  <c r="N89" i="86" s="1"/>
  <c r="N90" i="86" s="1"/>
  <c r="N91" i="86" s="1"/>
  <c r="N92" i="86" s="1"/>
  <c r="N93" i="86" s="1"/>
  <c r="N94" i="86" s="1"/>
  <c r="K15" i="86"/>
  <c r="M15" i="86"/>
  <c r="D13" i="86" l="1"/>
  <c r="F10" i="86"/>
  <c r="F13" i="86" s="1"/>
  <c r="E13" i="86"/>
  <c r="J13" i="86" l="1"/>
  <c r="J14" i="86" s="1"/>
  <c r="L13" i="86"/>
  <c r="K13" i="86"/>
  <c r="G12" i="86" s="1"/>
  <c r="K14" i="86" l="1"/>
  <c r="L14" i="86"/>
  <c r="G13" i="86"/>
  <c r="G11" i="86" s="1"/>
  <c r="M15" i="89" l="1"/>
  <c r="O96" i="89" l="1"/>
  <c r="O97" i="89" s="1"/>
  <c r="O98" i="89" s="1"/>
  <c r="O99" i="89" s="1"/>
  <c r="O100" i="89" s="1"/>
  <c r="O101" i="89" s="1"/>
  <c r="O102" i="89" s="1"/>
  <c r="O103" i="89" s="1"/>
  <c r="O104" i="89" s="1"/>
  <c r="O105" i="89" s="1"/>
  <c r="O106" i="89" s="1"/>
  <c r="O107" i="89" s="1"/>
  <c r="N20" i="89"/>
  <c r="N21" i="89" s="1"/>
  <c r="N22" i="89" s="1"/>
  <c r="N23" i="89" s="1"/>
  <c r="N24" i="89" s="1"/>
  <c r="N25" i="89" s="1"/>
  <c r="N26" i="89" s="1"/>
  <c r="N27" i="89" s="1"/>
  <c r="N28" i="89" s="1"/>
  <c r="N29" i="89" s="1"/>
  <c r="N30" i="89" s="1"/>
  <c r="N31" i="89" s="1"/>
  <c r="N32" i="89" s="1"/>
  <c r="N33" i="89" s="1"/>
  <c r="N34" i="89" s="1"/>
  <c r="N35" i="89" s="1"/>
  <c r="N36" i="89" s="1"/>
  <c r="N37" i="89" s="1"/>
  <c r="N38" i="89" s="1"/>
  <c r="N39" i="89" s="1"/>
  <c r="N40" i="89" s="1"/>
  <c r="N41" i="89" s="1"/>
  <c r="N42" i="89" s="1"/>
  <c r="N43" i="89" s="1"/>
  <c r="N44" i="89" s="1"/>
  <c r="N45" i="89" s="1"/>
  <c r="N46" i="89" s="1"/>
  <c r="N47" i="89" s="1"/>
  <c r="N48" i="89" s="1"/>
  <c r="N49" i="89" s="1"/>
  <c r="N50" i="89" s="1"/>
  <c r="N51" i="89" s="1"/>
  <c r="N52" i="89" s="1"/>
  <c r="N53" i="89" s="1"/>
  <c r="N54" i="89" s="1"/>
  <c r="N55" i="89" s="1"/>
  <c r="N56" i="89" s="1"/>
  <c r="N57" i="89" s="1"/>
  <c r="N58" i="89" s="1"/>
  <c r="N59" i="89" s="1"/>
  <c r="N60" i="89" s="1"/>
  <c r="N61" i="89" s="1"/>
  <c r="N62" i="89" s="1"/>
  <c r="N63" i="89" s="1"/>
  <c r="N64" i="89" s="1"/>
  <c r="N65" i="89" s="1"/>
  <c r="N66" i="89" s="1"/>
  <c r="N67" i="89" s="1"/>
  <c r="N68" i="89" s="1"/>
  <c r="N69" i="89" s="1"/>
  <c r="N70" i="89" s="1"/>
  <c r="N71" i="89" s="1"/>
  <c r="N72" i="89" s="1"/>
  <c r="N73" i="89" s="1"/>
  <c r="N74" i="89" s="1"/>
  <c r="N75" i="89" s="1"/>
  <c r="N76" i="89" s="1"/>
  <c r="N77" i="89" s="1"/>
  <c r="N78" i="89" s="1"/>
  <c r="N79" i="89" s="1"/>
  <c r="N80" i="89" s="1"/>
  <c r="N81" i="89" s="1"/>
  <c r="N82" i="89" s="1"/>
  <c r="N83" i="89" s="1"/>
  <c r="N84" i="89" s="1"/>
  <c r="N85" i="89" s="1"/>
  <c r="N86" i="89" s="1"/>
  <c r="N87" i="89" s="1"/>
  <c r="N88" i="89" s="1"/>
  <c r="N89" i="89" s="1"/>
  <c r="N90" i="89" s="1"/>
  <c r="N91" i="89" s="1"/>
  <c r="N92" i="89" s="1"/>
  <c r="N93" i="89" s="1"/>
  <c r="N94" i="89" s="1"/>
  <c r="N95" i="89" s="1"/>
  <c r="N96" i="89" s="1"/>
  <c r="N97" i="89" s="1"/>
  <c r="N98" i="89" s="1"/>
  <c r="N99" i="89" s="1"/>
  <c r="N100" i="89" s="1"/>
  <c r="N101" i="89" s="1"/>
  <c r="N102" i="89" s="1"/>
  <c r="N103" i="89" s="1"/>
  <c r="N104" i="89" s="1"/>
  <c r="N105" i="89" s="1"/>
  <c r="N106" i="89" s="1"/>
  <c r="N107" i="89" s="1"/>
  <c r="J13" i="89"/>
  <c r="P13" i="89"/>
  <c r="P14" i="89" l="1"/>
  <c r="N172" i="2"/>
  <c r="N173" i="2" s="1"/>
  <c r="N174" i="2" s="1"/>
  <c r="N175" i="2" s="1"/>
  <c r="N176" i="2" s="1"/>
  <c r="N177" i="2" s="1"/>
  <c r="N178" i="2" s="1"/>
  <c r="N179" i="2" l="1"/>
  <c r="N180" i="2" s="1"/>
  <c r="L5" i="92"/>
  <c r="N181" i="2" l="1"/>
  <c r="N182" i="2" s="1"/>
  <c r="N183" i="2" s="1"/>
  <c r="N184" i="2" s="1"/>
  <c r="N185" i="2" s="1"/>
  <c r="N186" i="2" s="1"/>
  <c r="N187" i="2" l="1"/>
  <c r="N188" i="2" s="1"/>
  <c r="N189" i="2" s="1"/>
  <c r="N190" i="2" s="1"/>
  <c r="N191" i="2" s="1"/>
  <c r="N192" i="2" s="1"/>
  <c r="N193" i="2" s="1"/>
  <c r="N194" i="2" s="1"/>
  <c r="N195" i="2" s="1"/>
  <c r="N196" i="2" s="1"/>
  <c r="O30" i="92"/>
  <c r="O31" i="92" s="1"/>
  <c r="O32" i="92" s="1"/>
  <c r="N31" i="92"/>
  <c r="N32" i="92" s="1"/>
  <c r="N197" i="2" l="1"/>
  <c r="N198" i="2" s="1"/>
  <c r="K33" i="92"/>
  <c r="N33" i="92" s="1"/>
  <c r="N34" i="92" s="1"/>
  <c r="N35" i="92" s="1"/>
  <c r="N36" i="92" s="1"/>
  <c r="N37" i="92" s="1"/>
  <c r="N38" i="92" s="1"/>
  <c r="N39" i="92" s="1"/>
  <c r="N40" i="92" s="1"/>
  <c r="N41" i="92" s="1"/>
  <c r="N42" i="92" s="1"/>
  <c r="N43" i="92" s="1"/>
  <c r="N44" i="92" s="1"/>
  <c r="N45" i="92" s="1"/>
  <c r="N46" i="92" s="1"/>
  <c r="N47" i="92" s="1"/>
  <c r="N48" i="92" s="1"/>
  <c r="N49" i="92" s="1"/>
  <c r="N50" i="92" s="1"/>
  <c r="N51" i="92" s="1"/>
  <c r="N52" i="92" s="1"/>
  <c r="N53" i="92" s="1"/>
  <c r="N54" i="92" s="1"/>
  <c r="N55" i="92" s="1"/>
  <c r="N56" i="92" s="1"/>
  <c r="N57" i="92" s="1"/>
  <c r="N58" i="92" s="1"/>
  <c r="N59" i="92" s="1"/>
  <c r="N60" i="92" s="1"/>
  <c r="N61" i="92" s="1"/>
  <c r="N62" i="92" s="1"/>
  <c r="N63" i="92" s="1"/>
  <c r="N64" i="92" s="1"/>
  <c r="N65" i="92" s="1"/>
  <c r="N66" i="92" s="1"/>
  <c r="N67" i="92" s="1"/>
  <c r="N68" i="92" s="1"/>
  <c r="N69" i="92" s="1"/>
  <c r="N70" i="92" s="1"/>
  <c r="N71" i="92" s="1"/>
  <c r="N72" i="92" s="1"/>
  <c r="N73" i="92" s="1"/>
  <c r="N74" i="92" s="1"/>
  <c r="N75" i="92" s="1"/>
  <c r="N76" i="92" s="1"/>
  <c r="N77" i="92" s="1"/>
  <c r="N78" i="92" s="1"/>
  <c r="N79" i="92" s="1"/>
  <c r="N80" i="92" s="1"/>
  <c r="N81" i="92" s="1"/>
  <c r="N82" i="92" s="1"/>
  <c r="N83" i="92" s="1"/>
  <c r="N84" i="92" s="1"/>
  <c r="N85" i="92" s="1"/>
  <c r="N86" i="92" s="1"/>
  <c r="N87" i="92" s="1"/>
  <c r="N88" i="92" s="1"/>
  <c r="N89" i="92" s="1"/>
  <c r="N90" i="92" s="1"/>
  <c r="N91" i="92" s="1"/>
  <c r="N92" i="92" s="1"/>
  <c r="N93" i="92" s="1"/>
  <c r="N94" i="92" s="1"/>
  <c r="N95" i="92" s="1"/>
  <c r="N96" i="92" s="1"/>
  <c r="N97" i="92" s="1"/>
  <c r="N98" i="92" s="1"/>
  <c r="N99" i="92" s="1"/>
  <c r="N100" i="92" s="1"/>
  <c r="N101" i="92" s="1"/>
  <c r="N102" i="92" s="1"/>
  <c r="N103" i="92" s="1"/>
  <c r="N104" i="92" s="1"/>
  <c r="N199" i="2" l="1"/>
  <c r="N200" i="2"/>
  <c r="N201" i="2" s="1"/>
  <c r="N202" i="2" s="1"/>
  <c r="N203" i="2" s="1"/>
  <c r="N204" i="2" s="1"/>
  <c r="N205" i="2" s="1"/>
  <c r="N207" i="2" s="1"/>
  <c r="N208" i="2" s="1"/>
  <c r="N209" i="2" s="1"/>
  <c r="N210" i="2" s="1"/>
  <c r="N211" i="2" s="1"/>
  <c r="N212" i="2" s="1"/>
  <c r="N214" i="2" s="1"/>
  <c r="N215" i="2" s="1"/>
  <c r="K15" i="92"/>
  <c r="M33" i="92"/>
  <c r="N216" i="2" l="1"/>
  <c r="N217" i="2" s="1"/>
  <c r="N218" i="2" s="1"/>
  <c r="N206" i="2"/>
  <c r="N213" i="2"/>
  <c r="O33" i="92"/>
  <c r="O34" i="92" s="1"/>
  <c r="O35" i="92" s="1"/>
  <c r="O36" i="92" s="1"/>
  <c r="O37" i="92" s="1"/>
  <c r="O38" i="92" s="1"/>
  <c r="O39" i="92" s="1"/>
  <c r="O40" i="92" s="1"/>
  <c r="O41" i="92" s="1"/>
  <c r="O42" i="92" s="1"/>
  <c r="O43" i="92" s="1"/>
  <c r="O44" i="92" s="1"/>
  <c r="O45" i="92" s="1"/>
  <c r="O46" i="92" s="1"/>
  <c r="O47" i="92" s="1"/>
  <c r="O48" i="92" s="1"/>
  <c r="O49" i="92" s="1"/>
  <c r="O50" i="92" s="1"/>
  <c r="O51" i="92" s="1"/>
  <c r="O52" i="92" s="1"/>
  <c r="O53" i="92" s="1"/>
  <c r="O54" i="92" s="1"/>
  <c r="O55" i="92" s="1"/>
  <c r="O56" i="92" s="1"/>
  <c r="O57" i="92" s="1"/>
  <c r="O58" i="92" s="1"/>
  <c r="O59" i="92" s="1"/>
  <c r="O60" i="92" s="1"/>
  <c r="O61" i="92" s="1"/>
  <c r="O62" i="92" s="1"/>
  <c r="O63" i="92" s="1"/>
  <c r="O64" i="92" s="1"/>
  <c r="O65" i="92" s="1"/>
  <c r="O66" i="92" s="1"/>
  <c r="O67" i="92" s="1"/>
  <c r="O68" i="92" s="1"/>
  <c r="O69" i="92" s="1"/>
  <c r="O70" i="92" s="1"/>
  <c r="O71" i="92" s="1"/>
  <c r="O72" i="92" s="1"/>
  <c r="O73" i="92" s="1"/>
  <c r="O74" i="92" s="1"/>
  <c r="O75" i="92" s="1"/>
  <c r="O76" i="92" s="1"/>
  <c r="O77" i="92" s="1"/>
  <c r="O78" i="92" s="1"/>
  <c r="O79" i="92" s="1"/>
  <c r="O80" i="92" s="1"/>
  <c r="O81" i="92" s="1"/>
  <c r="O82" i="92" s="1"/>
  <c r="O83" i="92" s="1"/>
  <c r="O84" i="92" s="1"/>
  <c r="O85" i="92" s="1"/>
  <c r="O86" i="92" s="1"/>
  <c r="O87" i="92" s="1"/>
  <c r="O88" i="92" s="1"/>
  <c r="O89" i="92" s="1"/>
  <c r="O90" i="92" s="1"/>
  <c r="O91" i="92" s="1"/>
  <c r="O92" i="92" s="1"/>
  <c r="O93" i="92" s="1"/>
  <c r="O94" i="92" s="1"/>
  <c r="O95" i="92" s="1"/>
  <c r="O96" i="92" s="1"/>
  <c r="O97" i="92" s="1"/>
  <c r="O98" i="92" s="1"/>
  <c r="O99" i="92" s="1"/>
  <c r="O100" i="92" s="1"/>
  <c r="O101" i="92" s="1"/>
  <c r="O102" i="92" s="1"/>
  <c r="O103" i="92" s="1"/>
  <c r="O104" i="92" s="1"/>
  <c r="S33" i="92"/>
  <c r="S34" i="92" s="1"/>
  <c r="S35" i="92" s="1"/>
  <c r="S36" i="92" s="1"/>
  <c r="S37" i="92" s="1"/>
  <c r="S38" i="92" s="1"/>
  <c r="S39" i="92" s="1"/>
  <c r="S40" i="92" s="1"/>
  <c r="S41" i="92" s="1"/>
  <c r="S42" i="92" s="1"/>
  <c r="S43" i="92" s="1"/>
  <c r="S44" i="92" s="1"/>
  <c r="S45" i="92" s="1"/>
  <c r="S46" i="92" s="1"/>
  <c r="S47" i="92" s="1"/>
  <c r="S48" i="92" s="1"/>
  <c r="S49" i="92" s="1"/>
  <c r="S50" i="92" s="1"/>
  <c r="S51" i="92" s="1"/>
  <c r="S52" i="92" s="1"/>
  <c r="S53" i="92" s="1"/>
  <c r="S54" i="92" s="1"/>
  <c r="S55" i="92" s="1"/>
  <c r="S56" i="92" s="1"/>
  <c r="S57" i="92" s="1"/>
  <c r="S58" i="92" s="1"/>
  <c r="S59" i="92" s="1"/>
  <c r="S60" i="92" s="1"/>
  <c r="S61" i="92" s="1"/>
  <c r="S62" i="92" s="1"/>
  <c r="S63" i="92" s="1"/>
  <c r="S64" i="92" s="1"/>
  <c r="S65" i="92" s="1"/>
  <c r="S66" i="92" s="1"/>
  <c r="S67" i="92" s="1"/>
  <c r="S68" i="92" s="1"/>
  <c r="S69" i="92" s="1"/>
  <c r="S70" i="92" s="1"/>
  <c r="S71" i="92" s="1"/>
  <c r="S72" i="92" s="1"/>
  <c r="S73" i="92" s="1"/>
  <c r="S74" i="92" s="1"/>
  <c r="S75" i="92" s="1"/>
  <c r="S76" i="92" s="1"/>
  <c r="S77" i="92" s="1"/>
  <c r="S78" i="92" s="1"/>
  <c r="S79" i="92" s="1"/>
  <c r="S80" i="92" s="1"/>
  <c r="S81" i="92" s="1"/>
  <c r="S82" i="92" s="1"/>
  <c r="S83" i="92" s="1"/>
  <c r="S84" i="92" s="1"/>
  <c r="S85" i="92" s="1"/>
  <c r="S86" i="92" s="1"/>
  <c r="S87" i="92" s="1"/>
  <c r="S88" i="92" s="1"/>
  <c r="S89" i="92" s="1"/>
  <c r="S90" i="92" s="1"/>
  <c r="S91" i="92" s="1"/>
  <c r="S92" i="92" s="1"/>
  <c r="S93" i="92" s="1"/>
  <c r="S94" i="92" s="1"/>
  <c r="S95" i="92" s="1"/>
  <c r="S96" i="92" s="1"/>
  <c r="S97" i="92" s="1"/>
  <c r="S98" i="92" s="1"/>
  <c r="S99" i="92" s="1"/>
  <c r="S100" i="92" s="1"/>
  <c r="S101" i="92" s="1"/>
  <c r="S102" i="92" s="1"/>
  <c r="S103" i="92" s="1"/>
  <c r="S104" i="92" s="1"/>
  <c r="M15" i="92"/>
  <c r="F10" i="92"/>
  <c r="F14" i="92" s="1"/>
  <c r="E14" i="92"/>
  <c r="E13" i="92"/>
  <c r="N219" i="2" l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G12" i="92"/>
  <c r="F13" i="92"/>
  <c r="N230" i="2" l="1"/>
  <c r="N231" i="2" s="1"/>
  <c r="N232" i="2" s="1"/>
  <c r="N233" i="2" s="1"/>
  <c r="N234" i="2" s="1"/>
  <c r="N235" i="2" s="1"/>
  <c r="N236" i="2" s="1"/>
  <c r="N237" i="2" s="1"/>
  <c r="X13" i="92"/>
  <c r="G13" i="92"/>
  <c r="G11" i="92" s="1"/>
  <c r="D13" i="92"/>
  <c r="L10" i="92"/>
  <c r="L13" i="92" s="1"/>
  <c r="K13" i="92"/>
  <c r="Q14" i="92" s="1"/>
  <c r="J13" i="92"/>
  <c r="N238" i="2" l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R14" i="92"/>
  <c r="P14" i="92"/>
  <c r="N264" i="2" l="1"/>
  <c r="N265" i="2" s="1"/>
  <c r="N266" i="2" s="1"/>
  <c r="N267" i="2" s="1"/>
  <c r="N268" i="2" s="1"/>
  <c r="N269" i="2" s="1"/>
  <c r="N270" i="2" s="1"/>
  <c r="N271" i="2" s="1"/>
  <c r="N272" i="2" s="1"/>
  <c r="F6" i="94"/>
  <c r="M6" i="94" l="1"/>
  <c r="F8" i="94"/>
  <c r="M8" i="94" l="1"/>
  <c r="F9" i="94"/>
  <c r="M9" i="94" s="1"/>
  <c r="J13" i="94" l="1"/>
  <c r="F5" i="94" l="1"/>
  <c r="M5" i="94" s="1"/>
  <c r="F10" i="94"/>
  <c r="F14" i="94" s="1"/>
  <c r="E14" i="94"/>
  <c r="E13" i="94"/>
  <c r="G12" i="94" s="1"/>
  <c r="F13" i="94" l="1"/>
  <c r="G13" i="94" l="1"/>
  <c r="G11" i="94" s="1"/>
  <c r="X13" i="94"/>
  <c r="D13" i="94"/>
  <c r="P14" i="94" s="1"/>
  <c r="M10" i="94" l="1"/>
  <c r="K13" i="94"/>
  <c r="Q14" i="94" s="1"/>
  <c r="L13" i="94" l="1"/>
  <c r="R14" i="94" l="1"/>
  <c r="M13" i="94"/>
  <c r="S69" i="97" l="1"/>
  <c r="K69" i="97"/>
  <c r="N69" i="97" s="1"/>
  <c r="K70" i="97" l="1"/>
  <c r="M70" i="97" l="1"/>
  <c r="K15" i="97"/>
  <c r="K14" i="97" s="1"/>
  <c r="N70" i="97"/>
  <c r="N71" i="97" s="1"/>
  <c r="N72" i="97" s="1"/>
  <c r="N73" i="97" s="1"/>
  <c r="N74" i="97" s="1"/>
  <c r="N75" i="97" s="1"/>
  <c r="N76" i="97" s="1"/>
  <c r="N77" i="97" s="1"/>
  <c r="N78" i="97" s="1"/>
  <c r="N79" i="97" s="1"/>
  <c r="N80" i="97" s="1"/>
  <c r="N81" i="97" s="1"/>
  <c r="N82" i="97" s="1"/>
  <c r="N83" i="97" s="1"/>
  <c r="N84" i="97" s="1"/>
  <c r="N85" i="97" s="1"/>
  <c r="N86" i="97" s="1"/>
  <c r="N87" i="97" s="1"/>
  <c r="N88" i="97" s="1"/>
  <c r="N89" i="97" s="1"/>
  <c r="N90" i="97" s="1"/>
  <c r="N91" i="97" s="1"/>
  <c r="N92" i="97" s="1"/>
  <c r="N93" i="97" s="1"/>
  <c r="N94" i="97" s="1"/>
  <c r="N95" i="97" s="1"/>
  <c r="N96" i="97" s="1"/>
  <c r="N97" i="97" s="1"/>
  <c r="S70" i="97" l="1"/>
  <c r="S71" i="97" s="1"/>
  <c r="S72" i="97" s="1"/>
  <c r="S73" i="97" s="1"/>
  <c r="S74" i="97" s="1"/>
  <c r="S75" i="97" s="1"/>
  <c r="S76" i="97" s="1"/>
  <c r="S77" i="97" s="1"/>
  <c r="S78" i="97" s="1"/>
  <c r="S79" i="97" s="1"/>
  <c r="S80" i="97" s="1"/>
  <c r="S81" i="97" s="1"/>
  <c r="S82" i="97" s="1"/>
  <c r="S83" i="97" s="1"/>
  <c r="S84" i="97" s="1"/>
  <c r="S85" i="97" s="1"/>
  <c r="S86" i="97" s="1"/>
  <c r="S87" i="97" s="1"/>
  <c r="S88" i="97" s="1"/>
  <c r="S89" i="97" s="1"/>
  <c r="S90" i="97" s="1"/>
  <c r="S91" i="97" s="1"/>
  <c r="S92" i="97" s="1"/>
  <c r="S93" i="97" s="1"/>
  <c r="S94" i="97" s="1"/>
  <c r="S95" i="97" s="1"/>
  <c r="S96" i="97" s="1"/>
  <c r="S97" i="97" s="1"/>
  <c r="O70" i="97"/>
  <c r="O71" i="97" s="1"/>
  <c r="O72" i="97" s="1"/>
  <c r="O73" i="97" s="1"/>
  <c r="O74" i="97" s="1"/>
  <c r="O75" i="97" s="1"/>
  <c r="O76" i="97" s="1"/>
  <c r="O77" i="97" s="1"/>
  <c r="O78" i="97" s="1"/>
  <c r="O79" i="97" s="1"/>
  <c r="O80" i="97" s="1"/>
  <c r="O81" i="97" s="1"/>
  <c r="O82" i="97" s="1"/>
  <c r="O83" i="97" s="1"/>
  <c r="O84" i="97" s="1"/>
  <c r="O85" i="97" s="1"/>
  <c r="O86" i="97" s="1"/>
  <c r="O87" i="97" s="1"/>
  <c r="O88" i="97" s="1"/>
  <c r="O89" i="97" s="1"/>
  <c r="O90" i="97" s="1"/>
  <c r="O91" i="97" s="1"/>
  <c r="O92" i="97" s="1"/>
  <c r="O93" i="97" s="1"/>
  <c r="O94" i="97" s="1"/>
  <c r="O95" i="97" s="1"/>
  <c r="O96" i="97" s="1"/>
  <c r="O97" i="97" s="1"/>
  <c r="M15" i="97"/>
  <c r="M14" i="97" s="1"/>
  <c r="J13" i="106"/>
  <c r="J14" i="106" s="1"/>
  <c r="P14" i="106" l="1"/>
  <c r="L6" i="106"/>
  <c r="L13" i="106" s="1"/>
  <c r="K13" i="106"/>
  <c r="Q14" i="106" s="1"/>
  <c r="M13" i="106" l="1"/>
  <c r="R14" i="106"/>
  <c r="L14" i="106"/>
  <c r="K14" i="106"/>
  <c r="M6" i="106"/>
  <c r="S30" i="112" l="1"/>
  <c r="K30" i="112"/>
  <c r="N30" i="112" s="1"/>
  <c r="K31" i="112" l="1"/>
  <c r="M31" i="112" s="1"/>
  <c r="S31" i="112" s="1"/>
  <c r="S32" i="112" s="1"/>
  <c r="S33" i="112" s="1"/>
  <c r="S34" i="112" s="1"/>
  <c r="S35" i="112" s="1"/>
  <c r="S36" i="112" s="1"/>
  <c r="S37" i="112" s="1"/>
  <c r="S38" i="112" s="1"/>
  <c r="S39" i="112" s="1"/>
  <c r="S40" i="112" s="1"/>
  <c r="S41" i="112" s="1"/>
  <c r="S42" i="112" s="1"/>
  <c r="S43" i="112" s="1"/>
  <c r="S44" i="112" s="1"/>
  <c r="S45" i="112" s="1"/>
  <c r="S46" i="112" s="1"/>
  <c r="S47" i="112" s="1"/>
  <c r="S48" i="112" s="1"/>
  <c r="S49" i="112" s="1"/>
  <c r="S50" i="112" s="1"/>
  <c r="S51" i="112" s="1"/>
  <c r="S52" i="112" s="1"/>
  <c r="S53" i="112" s="1"/>
  <c r="S54" i="112" s="1"/>
  <c r="S55" i="112" s="1"/>
  <c r="S56" i="112" s="1"/>
  <c r="S57" i="112" s="1"/>
  <c r="S58" i="112" s="1"/>
  <c r="S59" i="112" s="1"/>
  <c r="S60" i="112" s="1"/>
  <c r="S61" i="112" s="1"/>
  <c r="S62" i="112" s="1"/>
  <c r="S63" i="112" s="1"/>
  <c r="S64" i="112" s="1"/>
  <c r="S65" i="112" s="1"/>
  <c r="S66" i="112" s="1"/>
  <c r="S67" i="112" s="1"/>
  <c r="S68" i="112" s="1"/>
  <c r="S69" i="112" s="1"/>
  <c r="S70" i="112" s="1"/>
  <c r="S71" i="112" s="1"/>
  <c r="S72" i="112" s="1"/>
  <c r="S73" i="112" s="1"/>
  <c r="S74" i="112" s="1"/>
  <c r="S75" i="112" s="1"/>
  <c r="S76" i="112" s="1"/>
  <c r="S77" i="112" s="1"/>
  <c r="S78" i="112" s="1"/>
  <c r="S79" i="112" s="1"/>
  <c r="S80" i="112" s="1"/>
  <c r="S81" i="112" s="1"/>
  <c r="S82" i="112" s="1"/>
  <c r="S83" i="112" s="1"/>
  <c r="S84" i="112" s="1"/>
  <c r="S85" i="112" s="1"/>
  <c r="S86" i="112" s="1"/>
  <c r="S87" i="112" s="1"/>
  <c r="S88" i="112" s="1"/>
  <c r="S89" i="112" s="1"/>
  <c r="S90" i="112" s="1"/>
  <c r="S91" i="112" s="1"/>
  <c r="S92" i="112" s="1"/>
  <c r="S93" i="112" s="1"/>
  <c r="S94" i="112" s="1"/>
  <c r="S95" i="112" s="1"/>
  <c r="S96" i="112" s="1"/>
  <c r="S97" i="112" s="1"/>
  <c r="S98" i="112" s="1"/>
  <c r="S99" i="112" s="1"/>
  <c r="S100" i="112" s="1"/>
  <c r="S101" i="112" s="1"/>
  <c r="S102" i="112" s="1"/>
  <c r="S103" i="112" s="1"/>
  <c r="K16" i="112"/>
  <c r="K15" i="112" s="1"/>
  <c r="M16" i="112"/>
  <c r="M14" i="112" s="1"/>
  <c r="N31" i="112" l="1"/>
  <c r="N32" i="112" s="1"/>
  <c r="N33" i="112" s="1"/>
  <c r="N34" i="112" s="1"/>
  <c r="N35" i="112" s="1"/>
  <c r="N36" i="112" s="1"/>
  <c r="N37" i="112" s="1"/>
  <c r="N38" i="112" s="1"/>
  <c r="N39" i="112" s="1"/>
  <c r="N40" i="112" s="1"/>
  <c r="N41" i="112" s="1"/>
  <c r="N42" i="112" s="1"/>
  <c r="N43" i="112" s="1"/>
  <c r="N44" i="112" s="1"/>
  <c r="N45" i="112" s="1"/>
  <c r="N46" i="112" s="1"/>
  <c r="N47" i="112" s="1"/>
  <c r="N48" i="112" s="1"/>
  <c r="N49" i="112" s="1"/>
  <c r="N50" i="112" s="1"/>
  <c r="N51" i="112" s="1"/>
  <c r="N52" i="112" s="1"/>
  <c r="N53" i="112" s="1"/>
  <c r="N54" i="112" s="1"/>
  <c r="N55" i="112" s="1"/>
  <c r="N56" i="112" s="1"/>
  <c r="N57" i="112" s="1"/>
  <c r="N58" i="112" s="1"/>
  <c r="N59" i="112" s="1"/>
  <c r="N60" i="112" s="1"/>
  <c r="N61" i="112" s="1"/>
  <c r="N62" i="112" s="1"/>
  <c r="N63" i="112" s="1"/>
  <c r="N64" i="112" s="1"/>
  <c r="N65" i="112" s="1"/>
  <c r="N66" i="112" s="1"/>
  <c r="N67" i="112" s="1"/>
  <c r="N68" i="112" s="1"/>
  <c r="N69" i="112" s="1"/>
  <c r="N70" i="112" s="1"/>
  <c r="N71" i="112" s="1"/>
  <c r="N72" i="112" s="1"/>
  <c r="N73" i="112" s="1"/>
  <c r="N74" i="112" s="1"/>
  <c r="N75" i="112" s="1"/>
  <c r="N76" i="112" s="1"/>
  <c r="N77" i="112" s="1"/>
  <c r="N78" i="112" s="1"/>
  <c r="N79" i="112" s="1"/>
  <c r="N80" i="112" s="1"/>
  <c r="N81" i="112" s="1"/>
  <c r="N82" i="112" s="1"/>
  <c r="N83" i="112" s="1"/>
  <c r="N84" i="112" s="1"/>
  <c r="N85" i="112" s="1"/>
  <c r="N86" i="112" s="1"/>
  <c r="N87" i="112" s="1"/>
  <c r="N88" i="112" s="1"/>
  <c r="N89" i="112" s="1"/>
  <c r="N90" i="112" s="1"/>
  <c r="N91" i="112" s="1"/>
  <c r="N92" i="112" s="1"/>
  <c r="N93" i="112" s="1"/>
  <c r="N94" i="112" s="1"/>
  <c r="N95" i="112" s="1"/>
  <c r="N96" i="112" s="1"/>
  <c r="N97" i="112" s="1"/>
  <c r="N98" i="112" s="1"/>
  <c r="N99" i="112" s="1"/>
  <c r="N100" i="112" s="1"/>
  <c r="N101" i="112" s="1"/>
  <c r="N102" i="112" s="1"/>
  <c r="N103" i="112" s="1"/>
  <c r="N104" i="112" s="1"/>
  <c r="N105" i="112" s="1"/>
  <c r="O31" i="112"/>
  <c r="O32" i="112" s="1"/>
  <c r="O33" i="112" s="1"/>
  <c r="O34" i="112" s="1"/>
  <c r="O35" i="112" s="1"/>
  <c r="O36" i="112" s="1"/>
  <c r="O37" i="112" s="1"/>
  <c r="O38" i="112" s="1"/>
  <c r="O39" i="112" s="1"/>
  <c r="O40" i="112" s="1"/>
  <c r="O41" i="112" s="1"/>
  <c r="O42" i="112" s="1"/>
  <c r="O43" i="112" s="1"/>
  <c r="O44" i="112" s="1"/>
  <c r="O45" i="112" s="1"/>
  <c r="O46" i="112" s="1"/>
  <c r="O47" i="112" s="1"/>
  <c r="O48" i="112" s="1"/>
  <c r="O49" i="112" s="1"/>
  <c r="O50" i="112" s="1"/>
  <c r="O51" i="112" s="1"/>
  <c r="O52" i="112" s="1"/>
  <c r="O53" i="112" s="1"/>
  <c r="O54" i="112" s="1"/>
  <c r="O55" i="112" s="1"/>
  <c r="O56" i="112" s="1"/>
  <c r="O57" i="112" s="1"/>
  <c r="O58" i="112" s="1"/>
  <c r="O59" i="112" s="1"/>
  <c r="O60" i="112" s="1"/>
  <c r="O61" i="112" s="1"/>
  <c r="O62" i="112" s="1"/>
  <c r="O63" i="112" s="1"/>
  <c r="O64" i="112" s="1"/>
  <c r="O65" i="112" s="1"/>
  <c r="O66" i="112" s="1"/>
  <c r="O67" i="112" s="1"/>
  <c r="O68" i="112" s="1"/>
  <c r="O69" i="112" s="1"/>
  <c r="O70" i="112" s="1"/>
  <c r="O71" i="112" s="1"/>
  <c r="O72" i="112" s="1"/>
  <c r="O73" i="112" s="1"/>
  <c r="O74" i="112" s="1"/>
  <c r="O75" i="112" s="1"/>
  <c r="O76" i="112" s="1"/>
  <c r="O77" i="112" s="1"/>
  <c r="O78" i="112" s="1"/>
  <c r="O79" i="112" s="1"/>
  <c r="O80" i="112" s="1"/>
  <c r="O81" i="112" s="1"/>
  <c r="O82" i="112" s="1"/>
  <c r="O83" i="112" s="1"/>
  <c r="O84" i="112" s="1"/>
  <c r="O85" i="112" s="1"/>
  <c r="O86" i="112" s="1"/>
  <c r="O87" i="112" s="1"/>
  <c r="O88" i="112" s="1"/>
  <c r="O89" i="112" s="1"/>
  <c r="O90" i="112" s="1"/>
  <c r="O91" i="112" s="1"/>
  <c r="O92" i="112" s="1"/>
  <c r="O93" i="112" s="1"/>
  <c r="O94" i="112" s="1"/>
  <c r="O95" i="112" s="1"/>
  <c r="O96" i="112" s="1"/>
  <c r="O97" i="112" s="1"/>
  <c r="O98" i="112" s="1"/>
  <c r="O99" i="112" s="1"/>
  <c r="O100" i="112" s="1"/>
  <c r="O101" i="112" s="1"/>
  <c r="O102" i="112" s="1"/>
  <c r="O103" i="112" s="1"/>
  <c r="O104" i="112" s="1"/>
  <c r="O105" i="112" s="1"/>
  <c r="M15" i="112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B302" i="2" l="1"/>
  <c r="E299" i="2"/>
  <c r="E300" i="2" s="1"/>
  <c r="B303" i="2" l="1"/>
  <c r="B304" i="2"/>
  <c r="B305" i="2" l="1"/>
  <c r="N273" i="2" l="1"/>
  <c r="N274" i="2" s="1"/>
  <c r="N275" i="2" l="1"/>
  <c r="N276" i="2" s="1"/>
  <c r="N277" i="2" s="1"/>
  <c r="N278" i="2" s="1"/>
  <c r="N279" i="2" l="1"/>
  <c r="N280" i="2" s="1"/>
  <c r="N281" i="2" s="1"/>
  <c r="N282" i="2" s="1"/>
  <c r="N283" i="2" s="1"/>
  <c r="N284" i="2" l="1"/>
  <c r="N285" i="2" s="1"/>
  <c r="N286" i="2" s="1"/>
  <c r="N287" i="2" s="1"/>
  <c r="N288" i="2" s="1"/>
  <c r="N289" i="2" s="1"/>
  <c r="D13" i="122"/>
  <c r="J13" i="122"/>
  <c r="J14" i="122" s="1"/>
  <c r="K16" i="124" l="1"/>
  <c r="M16" i="124" l="1"/>
  <c r="N290" i="2" l="1"/>
  <c r="N291" i="2" s="1"/>
  <c r="N292" i="2" s="1"/>
  <c r="N293" i="2" s="1"/>
  <c r="N29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이선희 (LEE SUN HEE)</author>
  </authors>
  <commentList>
    <comment ref="F11" authorId="0" shapeId="0" xr:uid="{00000000-0006-0000-0000-000001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
유지활동비</t>
        </r>
        <r>
          <rPr>
            <sz val="9"/>
            <color indexed="81"/>
            <rFont val="Tahoma"/>
            <family val="2"/>
          </rPr>
          <t xml:space="preserve"> $2,883.19
</t>
        </r>
        <r>
          <rPr>
            <sz val="9"/>
            <color indexed="81"/>
            <rFont val="돋움"/>
            <family val="3"/>
            <charset val="129"/>
          </rPr>
          <t>설립비</t>
        </r>
        <r>
          <rPr>
            <sz val="9"/>
            <color indexed="81"/>
            <rFont val="Tahoma"/>
            <family val="2"/>
          </rPr>
          <t xml:space="preserve"> $5,893.81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1B974A-487B-4114-AF07-AB829F875E4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638E3B86-95E8-4558-947B-FF6234B3019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AE29503E-1F5F-4EE6-8586-696B172054C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E927F4B-D1B3-410B-92DD-3C47FF6546B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E7DDD5D-4CBC-40F0-8B0A-09F0A8608CD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C346EED-E6EB-4D1D-A6E1-E0AFAA5E6B7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6FD86AE-AFE5-497A-9B11-9C449F1B6B33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A4421287-170B-41E2-8240-FA1AD3AA782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5DCB729-410C-499E-982F-24418148BE8E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CA0F9B3-221E-4105-ACD7-1E8A811EB56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E55" authorId="1" shapeId="0" xr:uid="{5DD98C90-1A37-4595-A390-3407E13471D9}">
      <text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/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219B3A38-758C-40A4-8D5F-9F289A77854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0116B79-5041-4C74-8758-C85BEAD43B6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DC206888-EB1F-4C59-9B1A-7CC51240859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17126665-BBC4-410A-8A48-908B2E9FA88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5497986-AAFF-43CF-8284-2A2EAD3F913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F3508CD9-CCC2-405E-95A6-1EEF4F9CD69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BF34C9E-21A3-4E74-A2B9-2C40F0BB358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612A322-12AE-47D3-B3D1-FC1FE9248ACB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41701AB-9B95-4FBF-B83F-F82F085B28B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9450310B-821A-4837-9B80-5AA95E351E6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8202627-6381-40FF-9FE9-E32C04B7C1E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53CE1B-7174-4C26-A195-ED660E92B87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0D18949-04E9-4B8E-9EAD-17EA65CA0C0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EADAC8E-ABCE-4A5A-8503-B999229C2F7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B178B63F-5D33-4594-ACD0-08F9B5D8FCDE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EFB4AB9F-0301-4D11-A918-B2F859C0443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5FD67B51-B5F6-4FD7-96A5-172A049A8A6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157B7279-091D-4B20-BD8A-ED5C2A11E77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879E5E-DEB8-482B-8C47-113A08F1F6F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FBCDAFFA-7971-4A74-9A39-9FEDD578AE17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5AA1C3CB-7D33-4FE4-ACC0-FBBE8CE5398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BE55E13-D663-453D-AA2A-2094C1C2F27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0FF6FAA9-B5B3-4C62-B4A0-BF7DF9AC77F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7A772E7D-1DF2-45A6-9476-7124B283A1B7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4452FFE-FED3-41B4-B47B-5C46B0C0B6C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7ACF31C-B7E9-41B2-9180-84136EE10E83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C885CB0A-747D-4BE7-8B60-C555824EE4F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55608856-9C5F-4134-A99B-B455FF0372D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D4A121A4-050C-47EB-AD40-A9E43B59267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1" shapeId="0" xr:uid="{1DEF2F4C-8F2F-4F3A-B567-4E39903E4796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0" authorId="1" shapeId="0" xr:uid="{9E19A13F-D3B1-41D2-B67F-A9B1FF3C64E4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88" authorId="1" shapeId="0" xr:uid="{6E398463-53E7-43B5-8C86-F621D4706361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<sst xmlns="http://schemas.openxmlformats.org/spreadsheetml/2006/main" count="12611" uniqueCount="1591">
  <si>
    <t>3월 전도금 사용 내역</t>
    <phoneticPr fontId="12" type="noConversion"/>
  </si>
  <si>
    <t>대계정</t>
    <phoneticPr fontId="19" type="noConversion"/>
  </si>
  <si>
    <t>소계정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</si>
  <si>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</si>
  <si>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</si>
  <si>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</si>
  <si>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대계정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</si>
  <si>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</si>
  <si>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</si>
  <si>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</si>
  <si>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소모품비</t>
  </si>
  <si>
    <t>업무추진비</t>
  </si>
  <si>
    <t>일반</t>
  </si>
  <si>
    <t>여비교통비</t>
  </si>
  <si>
    <t>해외</t>
  </si>
  <si>
    <t>지급임차료</t>
  </si>
  <si>
    <t>사무실관리</t>
    <phoneticPr fontId="12" type="noConversion"/>
  </si>
  <si>
    <t>차량임차료</t>
    <phoneticPr fontId="12" type="noConversion"/>
  </si>
  <si>
    <t>차량임차료</t>
    <phoneticPr fontId="12" type="noConversion"/>
  </si>
  <si>
    <t>통신비</t>
  </si>
  <si>
    <t>기타</t>
    <phoneticPr fontId="12" type="noConversion"/>
  </si>
  <si>
    <t>해외지사비</t>
  </si>
  <si>
    <t>Total</t>
    <phoneticPr fontId="12" type="noConversion"/>
  </si>
  <si>
    <t>보증금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</si>
  <si>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</si>
  <si>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</si>
  <si>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</si>
  <si>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</si>
  <si>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</si>
  <si>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</si>
  <si>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</si>
  <si>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잔액</t>
    <phoneticPr fontId="19" type="noConversion"/>
  </si>
  <si>
    <t>비고</t>
    <phoneticPr fontId="19" type="noConversion"/>
  </si>
  <si>
    <t>RMB</t>
    <phoneticPr fontId="19" type="noConversion"/>
  </si>
  <si>
    <t>USD</t>
    <phoneticPr fontId="19" type="noConversion"/>
  </si>
  <si>
    <t>USD</t>
    <phoneticPr fontId="19" type="noConversion"/>
  </si>
  <si>
    <t>RMB</t>
    <phoneticPr fontId="19" type="noConversion"/>
  </si>
  <si>
    <t>USD</t>
    <phoneticPr fontId="19" type="noConversion"/>
  </si>
  <si>
    <t xml:space="preserve">통장 일자 </t>
    <phoneticPr fontId="19" type="noConversion"/>
  </si>
  <si>
    <t>지급</t>
    <phoneticPr fontId="12" type="noConversion"/>
  </si>
  <si>
    <t>송금액</t>
    <phoneticPr fontId="19" type="noConversion"/>
  </si>
  <si>
    <t>입금</t>
    <phoneticPr fontId="12" type="noConversion"/>
  </si>
  <si>
    <t>출금</t>
    <phoneticPr fontId="19" type="noConversion"/>
  </si>
  <si>
    <t>잔액</t>
    <phoneticPr fontId="19" type="noConversion"/>
  </si>
  <si>
    <t>지급시
환율</t>
    <phoneticPr fontId="12" type="noConversion"/>
  </si>
  <si>
    <t>환산요율</t>
  </si>
  <si>
    <t>전표번호</t>
    <phoneticPr fontId="12" type="noConversion"/>
  </si>
  <si>
    <t>USD</t>
    <phoneticPr fontId="19" type="noConversion"/>
  </si>
  <si>
    <t>수수료</t>
    <phoneticPr fontId="19" type="noConversion"/>
  </si>
  <si>
    <t>RMB</t>
    <phoneticPr fontId="19" type="noConversion"/>
  </si>
  <si>
    <t>USD 입금</t>
    <phoneticPr fontId="16" type="noConversion"/>
  </si>
  <si>
    <t>은행 내역 참고</t>
  </si>
  <si>
    <t>USD-&gt;RMB 입금</t>
    <phoneticPr fontId="16" type="noConversion"/>
  </si>
  <si>
    <t>사무실 Rent Deposit비용 선 지불 건</t>
    <phoneticPr fontId="16" type="noConversion"/>
  </si>
  <si>
    <t>사무실 Rent Deposit 잔액</t>
    <phoneticPr fontId="16" type="noConversion"/>
  </si>
  <si>
    <t>이자</t>
    <phoneticPr fontId="16" type="noConversion"/>
  </si>
  <si>
    <t>Deposit 입금</t>
    <phoneticPr fontId="16" type="noConversion"/>
  </si>
  <si>
    <t>USD 입금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</si>
  <si>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</si>
  <si>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</si>
  <si>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잡이익</t>
    <phoneticPr fontId="11" type="noConversion"/>
  </si>
  <si>
    <t>계약서, 영수증 차월 제공</t>
    <phoneticPr fontId="16" type="noConversion"/>
  </si>
  <si>
    <t>해외지사비</t>
    <phoneticPr fontId="16" type="noConversion"/>
  </si>
  <si>
    <t>송금 수수료</t>
    <phoneticPr fontId="16" type="noConversion"/>
  </si>
  <si>
    <t>해외지사비</t>
    <phoneticPr fontId="16" type="noConversion"/>
  </si>
  <si>
    <t>기존 잔고</t>
    <phoneticPr fontId="11" type="noConversion"/>
  </si>
  <si>
    <t xml:space="preserve">사무실 Rent 비용 </t>
    <phoneticPr fontId="16" type="noConversion"/>
  </si>
  <si>
    <t>사무실 Rent 비용</t>
    <phoneticPr fontId="16" type="noConversion"/>
  </si>
  <si>
    <t>보증금</t>
    <phoneticPr fontId="16" type="noConversion"/>
  </si>
  <si>
    <t>보증금</t>
    <phoneticPr fontId="11" type="noConversion"/>
  </si>
  <si>
    <t>주택 지원비</t>
    <phoneticPr fontId="16" type="noConversion"/>
  </si>
  <si>
    <t>신순연 책임 주택 지원금</t>
    <phoneticPr fontId="11" type="noConversion"/>
  </si>
  <si>
    <t>잡이익</t>
    <phoneticPr fontId="11" type="noConversion"/>
  </si>
  <si>
    <r>
      <t>U</t>
    </r>
    <r>
      <rPr>
        <sz val="10"/>
        <color indexed="9"/>
        <rFont val="맑은 고딕"/>
        <family val="3"/>
        <charset val="129"/>
        <scheme val="minor"/>
      </rPr>
      <t>SD</t>
    </r>
    <phoneticPr fontId="19" type="noConversion"/>
  </si>
  <si>
    <t>3/28 송금 환율(1218.3)</t>
    <phoneticPr fontId="16" type="noConversion"/>
  </si>
  <si>
    <t>지급임차료</t>
    <phoneticPr fontId="16" type="noConversion"/>
  </si>
  <si>
    <t>사무실</t>
    <phoneticPr fontId="11" type="noConversion"/>
  </si>
  <si>
    <t>해외지사비</t>
    <phoneticPr fontId="16" type="noConversion"/>
  </si>
  <si>
    <t>3/28 보증금 입금(1234.5)</t>
    <phoneticPr fontId="16" type="noConversion"/>
  </si>
  <si>
    <t>4월 20일</t>
    <phoneticPr fontId="16" type="noConversion"/>
  </si>
  <si>
    <t>4월 24일</t>
    <phoneticPr fontId="16" type="noConversion"/>
  </si>
  <si>
    <t>4월 사무실 Rent비</t>
  </si>
  <si>
    <t>3~4월 사무실 관리비 미납 금액</t>
  </si>
  <si>
    <t>전화기</t>
  </si>
  <si>
    <t>Hot Pot</t>
  </si>
  <si>
    <t>A4용지 및 생수 등</t>
  </si>
  <si>
    <t>냉장고</t>
  </si>
  <si>
    <t>빈프로젝트 및 막 &amp; 막 설치</t>
  </si>
  <si>
    <t>회의실 Table</t>
  </si>
  <si>
    <t>의자</t>
  </si>
  <si>
    <t>모니터(3대)</t>
  </si>
  <si>
    <t>Print기</t>
  </si>
  <si>
    <t>작은 책장</t>
  </si>
  <si>
    <t>3~4월 사무실 관리비 미납 금액</t>
    <phoneticPr fontId="16" type="noConversion"/>
  </si>
  <si>
    <t>전화기</t>
    <phoneticPr fontId="16" type="noConversion"/>
  </si>
  <si>
    <t>Hot Pot</t>
    <phoneticPr fontId="16" type="noConversion"/>
  </si>
  <si>
    <t>A4용지 및 생수 등</t>
    <phoneticPr fontId="16" type="noConversion"/>
  </si>
  <si>
    <t>냉장고</t>
    <phoneticPr fontId="16" type="noConversion"/>
  </si>
  <si>
    <t>빈프로젝트 및 막 &amp; 막 설치</t>
    <phoneticPr fontId="16" type="noConversion"/>
  </si>
  <si>
    <t>회의실 Table</t>
    <phoneticPr fontId="16" type="noConversion"/>
  </si>
  <si>
    <t>의자</t>
    <phoneticPr fontId="16" type="noConversion"/>
  </si>
  <si>
    <t>모니터(3대)</t>
    <phoneticPr fontId="16" type="noConversion"/>
  </si>
  <si>
    <t>Print기</t>
    <phoneticPr fontId="16" type="noConversion"/>
  </si>
  <si>
    <t>작은 책장</t>
    <phoneticPr fontId="16" type="noConversion"/>
  </si>
  <si>
    <t>4월 사무실 Rent비_3/10 송금</t>
    <phoneticPr fontId="16" type="noConversion"/>
  </si>
  <si>
    <t>지급임차료</t>
    <phoneticPr fontId="11" type="noConversion"/>
  </si>
  <si>
    <t>사무실관리</t>
    <phoneticPr fontId="11" type="noConversion"/>
  </si>
  <si>
    <t>해외지사비</t>
    <phoneticPr fontId="11" type="noConversion"/>
  </si>
  <si>
    <t>4월 사무실 Rent비_3/28 보증금 송금</t>
    <phoneticPr fontId="16" type="noConversion"/>
  </si>
  <si>
    <t>3/10 송금 환율(1234.5)</t>
    <phoneticPr fontId="16" type="noConversion"/>
  </si>
  <si>
    <t>3/28 송금 환율(1218.3)</t>
    <phoneticPr fontId="16" type="noConversion"/>
  </si>
  <si>
    <t>4월 전도금 사용 내역</t>
    <phoneticPr fontId="12" type="noConversion"/>
  </si>
  <si>
    <t xml:space="preserve">4월 환율 차이 </t>
    <phoneticPr fontId="11" type="noConversion"/>
  </si>
  <si>
    <t>기존통장 5월 외화송금</t>
    <phoneticPr fontId="11" type="noConversion"/>
  </si>
  <si>
    <t>송금수수료</t>
    <phoneticPr fontId="11" type="noConversion"/>
  </si>
  <si>
    <t>은행 수수료</t>
    <phoneticPr fontId="11" type="noConversion"/>
  </si>
  <si>
    <t>통신비</t>
    <phoneticPr fontId="11" type="noConversion"/>
  </si>
  <si>
    <r>
      <t xml:space="preserve">사무실 </t>
    </r>
    <r>
      <rPr>
        <sz val="10"/>
        <color theme="1"/>
        <rFont val="맑은 고딕"/>
        <family val="3"/>
        <charset val="129"/>
        <scheme val="minor"/>
      </rPr>
      <t>Wifi비용(3월)</t>
    </r>
    <phoneticPr fontId="11" type="noConversion"/>
  </si>
  <si>
    <r>
      <t xml:space="preserve">사무실 </t>
    </r>
    <r>
      <rPr>
        <sz val="10"/>
        <color theme="1"/>
        <rFont val="맑은 고딕"/>
        <family val="3"/>
        <charset val="129"/>
        <scheme val="minor"/>
      </rPr>
      <t>Wifi비용(4월)</t>
    </r>
    <phoneticPr fontId="11" type="noConversion"/>
  </si>
  <si>
    <r>
      <t>사무실 물</t>
    </r>
    <r>
      <rPr>
        <sz val="10"/>
        <color theme="1"/>
        <rFont val="맑은 고딕"/>
        <family val="3"/>
        <charset val="129"/>
        <scheme val="minor"/>
      </rPr>
      <t>/전기/에어컨 비용(4월)</t>
    </r>
    <phoneticPr fontId="11" type="noConversion"/>
  </si>
  <si>
    <r>
      <t xml:space="preserve">인터넷 </t>
    </r>
    <r>
      <rPr>
        <sz val="10"/>
        <color theme="1"/>
        <rFont val="맑은 고딕"/>
        <family val="3"/>
        <charset val="129"/>
        <scheme val="minor"/>
      </rPr>
      <t>Recruiting비용</t>
    </r>
    <phoneticPr fontId="11" type="noConversion"/>
  </si>
  <si>
    <t>사무실 비품</t>
    <phoneticPr fontId="11" type="noConversion"/>
  </si>
  <si>
    <r>
      <t>C</t>
    </r>
    <r>
      <rPr>
        <sz val="10"/>
        <color theme="1"/>
        <rFont val="맑은 고딕"/>
        <family val="3"/>
        <charset val="129"/>
        <scheme val="minor"/>
      </rPr>
      <t>SOT T2, T6 출입증 신청 비용</t>
    </r>
    <phoneticPr fontId="11" type="noConversion"/>
  </si>
  <si>
    <t>프린트 비용 및 프린트 설치 비용</t>
    <phoneticPr fontId="11" type="noConversion"/>
  </si>
  <si>
    <t>택배비</t>
    <phoneticPr fontId="11" type="noConversion"/>
  </si>
  <si>
    <t>업무추진비</t>
    <phoneticPr fontId="11" type="noConversion"/>
  </si>
  <si>
    <t>은행 수수료</t>
    <phoneticPr fontId="11" type="noConversion"/>
  </si>
  <si>
    <t>시내교통비</t>
    <phoneticPr fontId="11" type="noConversion"/>
  </si>
  <si>
    <r>
      <t>업무추진비-</t>
    </r>
    <r>
      <rPr>
        <sz val="10"/>
        <color theme="1"/>
        <rFont val="맑은 고딕"/>
        <family val="3"/>
        <charset val="129"/>
        <scheme val="minor"/>
      </rPr>
      <t>csot coffee shop</t>
    </r>
    <phoneticPr fontId="11" type="noConversion"/>
  </si>
  <si>
    <t>인증서</t>
    <phoneticPr fontId="11" type="noConversion"/>
  </si>
  <si>
    <t>주재원 대행 수수료</t>
    <phoneticPr fontId="11" type="noConversion"/>
  </si>
  <si>
    <t>주재원 5대보험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</si>
  <si>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</si>
  <si>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</si>
  <si>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</si>
  <si>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OTP 도구 비용</t>
    <phoneticPr fontId="11" type="noConversion"/>
  </si>
  <si>
    <t>사무실 청소비(5월)_3월 환율</t>
    <phoneticPr fontId="11" type="noConversion"/>
  </si>
  <si>
    <t>사무실 청소비(5월)_5월 환율</t>
    <phoneticPr fontId="11" type="noConversion"/>
  </si>
  <si>
    <t>해외지사비</t>
    <phoneticPr fontId="11" type="noConversion"/>
  </si>
  <si>
    <t>통신비</t>
    <phoneticPr fontId="11" type="noConversion"/>
  </si>
  <si>
    <t>기타</t>
    <phoneticPr fontId="11" type="noConversion"/>
  </si>
  <si>
    <t>5월 전도금 사용 내역</t>
    <phoneticPr fontId="12" type="noConversion"/>
  </si>
  <si>
    <t>3/28 보증금 입금(1,274.6)</t>
    <phoneticPr fontId="16" type="noConversion"/>
  </si>
  <si>
    <t xml:space="preserve">신규 인력 채용 </t>
    <phoneticPr fontId="11" type="noConversion"/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</si>
  <si>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</si>
  <si>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</si>
  <si>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</si>
  <si>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</si>
  <si>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3/28 송금 환율(1218.3)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</si>
  <si>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</si>
  <si>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</si>
  <si>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</si>
  <si>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</si>
  <si>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</si>
  <si>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</si>
  <si>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</si>
  <si>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RMB</t>
    <phoneticPr fontId="19" type="noConversion"/>
  </si>
  <si>
    <t>USD</t>
    <phoneticPr fontId="19" type="noConversion"/>
  </si>
  <si>
    <t>기존 잔고</t>
    <phoneticPr fontId="11" type="noConversion"/>
  </si>
  <si>
    <t>잡이익</t>
    <phoneticPr fontId="11" type="noConversion"/>
  </si>
  <si>
    <t>USD 입금</t>
    <phoneticPr fontId="16" type="noConversion"/>
  </si>
  <si>
    <t>송금 수수료</t>
    <phoneticPr fontId="16" type="noConversion"/>
  </si>
  <si>
    <t>해외지사비</t>
    <phoneticPr fontId="16" type="noConversion"/>
  </si>
  <si>
    <t>사무실 Rent Deposit비용 선 지불 건</t>
    <phoneticPr fontId="16" type="noConversion"/>
  </si>
  <si>
    <t>계약서, 영수증 차월 제공</t>
    <phoneticPr fontId="16" type="noConversion"/>
  </si>
  <si>
    <t>보증금</t>
    <phoneticPr fontId="16" type="noConversion"/>
  </si>
  <si>
    <t>사무실 Rent Deposit 잔액</t>
    <phoneticPr fontId="16" type="noConversion"/>
  </si>
  <si>
    <t xml:space="preserve">사무실 Rent 비용 </t>
    <phoneticPr fontId="16" type="noConversion"/>
  </si>
  <si>
    <t>지급임차료</t>
    <phoneticPr fontId="16" type="noConversion"/>
  </si>
  <si>
    <t>사무실</t>
    <phoneticPr fontId="11" type="noConversion"/>
  </si>
  <si>
    <t>이자</t>
    <phoneticPr fontId="16" type="noConversion"/>
  </si>
  <si>
    <t>Deposit 입금</t>
    <phoneticPr fontId="16" type="noConversion"/>
  </si>
  <si>
    <t>주택 지원비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</si>
  <si>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</si>
  <si>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</si>
  <si>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4/10 송금 환율(1,274.6)</t>
    <phoneticPr fontId="16" type="noConversion"/>
  </si>
  <si>
    <t>3/10 송금 환율(1234.5)</t>
    <phoneticPr fontId="16" type="noConversion"/>
  </si>
  <si>
    <t>가구류</t>
    <phoneticPr fontId="12" type="noConversion"/>
  </si>
  <si>
    <t>기타집기</t>
    <phoneticPr fontId="12" type="noConversion"/>
  </si>
  <si>
    <t>보증금</t>
    <phoneticPr fontId="11" type="noConversion"/>
  </si>
  <si>
    <t>사무실임차료</t>
    <phoneticPr fontId="12" type="noConversion"/>
  </si>
  <si>
    <t>4월 사무실 Rent비_3/28 송금</t>
    <phoneticPr fontId="16" type="noConversion"/>
  </si>
  <si>
    <t>은행계좌</t>
    <phoneticPr fontId="11" type="noConversion"/>
  </si>
  <si>
    <t>통장내역</t>
    <phoneticPr fontId="11" type="noConversion"/>
  </si>
  <si>
    <t>사무실운영비</t>
    <phoneticPr fontId="11" type="noConversion"/>
  </si>
  <si>
    <t>택배</t>
    <phoneticPr fontId="11" type="noConversion"/>
  </si>
  <si>
    <t>사무비품</t>
    <phoneticPr fontId="11" type="noConversion"/>
  </si>
  <si>
    <t>청소비</t>
    <phoneticPr fontId="11" type="noConversion"/>
  </si>
  <si>
    <t>신순연</t>
    <phoneticPr fontId="11" type="noConversion"/>
  </si>
  <si>
    <t>사무실 Wifi</t>
    <phoneticPr fontId="11" type="noConversion"/>
  </si>
  <si>
    <t>수신인 잘못 송금 내역 입금처리</t>
    <phoneticPr fontId="11" type="noConversion"/>
  </si>
  <si>
    <t>중고차-&gt;신차로 계약변경에 따른 차액 납부</t>
    <phoneticPr fontId="11" type="noConversion"/>
  </si>
  <si>
    <t>입금</t>
    <phoneticPr fontId="11" type="noConversion"/>
  </si>
  <si>
    <t>이자 입금</t>
    <phoneticPr fontId="11" type="noConversion"/>
  </si>
  <si>
    <t>은행 수수료</t>
    <phoneticPr fontId="11" type="noConversion"/>
  </si>
  <si>
    <t>5월 사무실 Rent비</t>
    <phoneticPr fontId="11" type="noConversion"/>
  </si>
  <si>
    <t>6월 사무실 Rent비</t>
    <phoneticPr fontId="11" type="noConversion"/>
  </si>
  <si>
    <t>사무실 에어컨 및 전기/물 비용</t>
    <phoneticPr fontId="11" type="noConversion"/>
  </si>
  <si>
    <t>2021년 개인소득세 추가 납부(신순연)</t>
    <phoneticPr fontId="11" type="noConversion"/>
  </si>
  <si>
    <t>차량 Rent비 잘 못 입금</t>
    <phoneticPr fontId="11" type="noConversion"/>
  </si>
  <si>
    <t>시내교통비</t>
    <phoneticPr fontId="11" type="noConversion"/>
  </si>
  <si>
    <t>통신비</t>
    <phoneticPr fontId="11" type="noConversion"/>
  </si>
  <si>
    <r>
      <t xml:space="preserve">차량 </t>
    </r>
    <r>
      <rPr>
        <sz val="10"/>
        <color theme="1"/>
        <rFont val="맑은 고딕"/>
        <family val="3"/>
        <charset val="129"/>
        <scheme val="minor"/>
      </rPr>
      <t>Rent비 잘 못 입금 부분 환금</t>
    </r>
    <phoneticPr fontId="11" type="noConversion"/>
  </si>
  <si>
    <t>차량 Rent비 1차</t>
    <phoneticPr fontId="11" type="noConversion"/>
  </si>
  <si>
    <t>차량 Rent비 차액 추가 납부</t>
    <phoneticPr fontId="11" type="noConversion"/>
  </si>
  <si>
    <t>주재원 대행 수수료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</si>
  <si>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</si>
  <si>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</si>
  <si>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</si>
  <si>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은행 수수료</t>
    <phoneticPr fontId="11" type="noConversion"/>
  </si>
  <si>
    <t>신순연</t>
    <phoneticPr fontId="11" type="noConversion"/>
  </si>
  <si>
    <t>김명관</t>
    <phoneticPr fontId="11" type="noConversion"/>
  </si>
  <si>
    <t>주재원 5대보험_5월</t>
    <phoneticPr fontId="11" type="noConversion"/>
  </si>
  <si>
    <t>주재원 5대보험_6월</t>
    <phoneticPr fontId="11" type="noConversion"/>
  </si>
  <si>
    <t>송금수수료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</si>
  <si>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</si>
  <si>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</si>
  <si>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</si>
  <si>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중연-4.5월 기장비</t>
    <phoneticPr fontId="11" type="noConversion"/>
  </si>
  <si>
    <t>중연-22년 사무용품비</t>
    <phoneticPr fontId="11" type="noConversion"/>
  </si>
  <si>
    <t>중연-취업비자</t>
    <phoneticPr fontId="11" type="noConversion"/>
  </si>
  <si>
    <t>중연-세무국방문(세무승인)</t>
    <phoneticPr fontId="11" type="noConversion"/>
  </si>
  <si>
    <t>중연-실비(도장)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</si>
  <si>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</si>
  <si>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</si>
  <si>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</si>
  <si>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차량임차료</t>
  </si>
  <si>
    <t>차량임차료</t>
    <phoneticPr fontId="11" type="noConversion"/>
  </si>
  <si>
    <t>16,000 수신인 잘못 송금 -&gt; 이후 재입금으로 내용 삭제 하였으나 수수료 발생</t>
    <phoneticPr fontId="11" type="noConversion"/>
  </si>
  <si>
    <t>5/10 송금 환율(1,274.6)</t>
    <phoneticPr fontId="16" type="noConversion"/>
  </si>
  <si>
    <t>6/10 송금 환율(1,257.6)</t>
    <phoneticPr fontId="16" type="noConversion"/>
  </si>
  <si>
    <t>6월 전도금 사용 내역</t>
    <phoneticPr fontId="12" type="noConversion"/>
  </si>
  <si>
    <t>입금</t>
    <phoneticPr fontId="16" type="noConversion"/>
  </si>
  <si>
    <t>사무실 운영세금(4,5,6월분 7월 납부)</t>
    <phoneticPr fontId="16" type="noConversion"/>
  </si>
  <si>
    <t>주재원 주택 Deposit 2개월 분(김명관)</t>
    <phoneticPr fontId="16" type="noConversion"/>
  </si>
  <si>
    <t>사무실 에어컨 및 전기/물 비용</t>
    <phoneticPr fontId="16" type="noConversion"/>
  </si>
  <si>
    <t>사무실 운영비(T2/T6출입증 신청, 사무비품 등)</t>
    <phoneticPr fontId="16" type="noConversion"/>
  </si>
  <si>
    <t>시내교통비(pan shi qiang)</t>
    <phoneticPr fontId="16" type="noConversion"/>
  </si>
  <si>
    <t>업무추진비</t>
    <phoneticPr fontId="16" type="noConversion"/>
  </si>
  <si>
    <t>시내교통비(신순연)</t>
    <phoneticPr fontId="16" type="noConversion"/>
  </si>
  <si>
    <t>사무실 임대료</t>
    <phoneticPr fontId="16" type="noConversion"/>
  </si>
  <si>
    <t>차량 Rent비</t>
    <phoneticPr fontId="16" type="noConversion"/>
  </si>
  <si>
    <t>세무대행비</t>
    <phoneticPr fontId="16" type="noConversion"/>
  </si>
  <si>
    <t>김명관 통신비</t>
    <phoneticPr fontId="16" type="noConversion"/>
  </si>
  <si>
    <t>업무추진비(6월분)</t>
    <phoneticPr fontId="16" type="noConversion"/>
  </si>
  <si>
    <t>여비교통비(김명관 책임 7월 호텔 투숙비)</t>
    <phoneticPr fontId="16" type="noConversion"/>
  </si>
  <si>
    <t>주재원 5대보험</t>
    <phoneticPr fontId="11" type="noConversion"/>
  </si>
  <si>
    <t>신순연</t>
    <phoneticPr fontId="16" type="noConversion"/>
  </si>
  <si>
    <t>김명관책임 건강검진</t>
    <phoneticPr fontId="11" type="noConversion"/>
  </si>
  <si>
    <t>김명관책임 비자발급</t>
    <phoneticPr fontId="11" type="noConversion"/>
  </si>
  <si>
    <t>은행수수료</t>
    <phoneticPr fontId="11" type="noConversion"/>
  </si>
  <si>
    <t>주차비</t>
    <phoneticPr fontId="16" type="noConversion"/>
  </si>
  <si>
    <t>톨비</t>
    <phoneticPr fontId="11" type="noConversion"/>
  </si>
  <si>
    <t>주유비</t>
    <phoneticPr fontId="11" type="noConversion"/>
  </si>
  <si>
    <t>사무실운영비(명함)</t>
    <phoneticPr fontId="11" type="noConversion"/>
  </si>
  <si>
    <t>사무실운영비(택배비)</t>
    <phoneticPr fontId="11" type="noConversion"/>
  </si>
  <si>
    <t>사무실운영비(청소비)</t>
    <phoneticPr fontId="11" type="noConversion"/>
  </si>
  <si>
    <t>사무실 운영비(print설치비)</t>
    <phoneticPr fontId="16" type="noConversion"/>
  </si>
  <si>
    <t>통신비(신순연)</t>
    <phoneticPr fontId="11" type="noConversion"/>
  </si>
  <si>
    <t>통신비(사무실 wifi비)</t>
    <phoneticPr fontId="11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</si>
  <si>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</si>
  <si>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</si>
  <si>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</si>
  <si>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</si>
  <si>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</si>
  <si>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</si>
  <si>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</si>
  <si>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</si>
  <si>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</si>
  <si>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동부</t>
  </si>
  <si>
    <t>심천 한 식당</t>
    <phoneticPr fontId="16" type="noConversion"/>
  </si>
  <si>
    <t>심천 중 식당</t>
    <phoneticPr fontId="16" type="noConversion"/>
  </si>
  <si>
    <t>CSOT</t>
    <phoneticPr fontId="16" type="noConversion"/>
  </si>
  <si>
    <t>사무실 운영세금(4,5,6월분 7월 납부)_7월 환율</t>
    <phoneticPr fontId="16" type="noConversion"/>
  </si>
  <si>
    <t>7/10 송금 환율(1,299.3)</t>
    <phoneticPr fontId="16" type="noConversion"/>
  </si>
  <si>
    <t>사무실 운영세금(4,5,6월분 7월 납부)_6월 환율</t>
    <phoneticPr fontId="16" type="noConversion"/>
  </si>
  <si>
    <t>해외지사비</t>
    <phoneticPr fontId="11" type="noConversion"/>
  </si>
  <si>
    <t>보증금</t>
    <phoneticPr fontId="11" type="noConversion"/>
  </si>
  <si>
    <t>여비교통비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</si>
  <si>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</si>
  <si>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</si>
  <si>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</si>
  <si>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</si>
  <si>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</si>
  <si>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</si>
  <si>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</si>
  <si>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김명관</t>
    <phoneticPr fontId="11" type="noConversion"/>
  </si>
  <si>
    <t>현채인</t>
    <phoneticPr fontId="11" type="noConversion"/>
  </si>
  <si>
    <t>송금수수료</t>
    <phoneticPr fontId="16" type="noConversion"/>
  </si>
  <si>
    <t>6/10 송금 환율(1,257.6)</t>
    <phoneticPr fontId="16" type="noConversion"/>
  </si>
  <si>
    <t>주재원 주택 Deposit 2개월 분(김명관)
영수증 Scan본상 계산 잘못 됨. (14000x2+7.2=28007.2)</t>
    <phoneticPr fontId="16" type="noConversion"/>
  </si>
  <si>
    <t>대계정</t>
    <phoneticPr fontId="16" type="noConversion"/>
  </si>
  <si>
    <t>소모품비</t>
    <phoneticPr fontId="16" type="noConversion"/>
  </si>
  <si>
    <t>업무추진비</t>
    <phoneticPr fontId="16" type="noConversion"/>
  </si>
  <si>
    <t>여비교통비</t>
    <phoneticPr fontId="16" type="noConversion"/>
  </si>
  <si>
    <t>지급임차료</t>
    <phoneticPr fontId="16" type="noConversion"/>
  </si>
  <si>
    <t>통신비</t>
    <phoneticPr fontId="16" type="noConversion"/>
  </si>
  <si>
    <t>해외지사비</t>
    <phoneticPr fontId="16" type="noConversion"/>
  </si>
  <si>
    <t>보증금</t>
    <phoneticPr fontId="16" type="noConversion"/>
  </si>
  <si>
    <t>Total</t>
    <phoneticPr fontId="16" type="noConversion"/>
  </si>
  <si>
    <t>날짜</t>
    <phoneticPr fontId="16" type="noConversion"/>
  </si>
  <si>
    <t>입금</t>
    <phoneticPr fontId="16" type="noConversion"/>
  </si>
  <si>
    <t>RMB</t>
    <phoneticPr fontId="16" type="noConversion"/>
  </si>
  <si>
    <t>7월 전도금 사용 내역</t>
    <phoneticPr fontId="16" type="noConversion"/>
  </si>
  <si>
    <t>사무실 임대료</t>
  </si>
  <si>
    <t>차량 Rent비</t>
  </si>
  <si>
    <t>세무대행비</t>
  </si>
  <si>
    <t>사무실 에어컨 및 전기/물 비용</t>
  </si>
  <si>
    <t>주차비,주유비, 톨비</t>
  </si>
  <si>
    <t>여비교통비(김명관책임 HKC출장 건)</t>
  </si>
  <si>
    <t>주택 중계비(김명관 책임)</t>
  </si>
  <si>
    <t>시내교통비(판스챵 책임)</t>
  </si>
  <si>
    <t>택배비(판스챵 책임)</t>
  </si>
  <si>
    <t>통신비(판스챵 책임)</t>
  </si>
  <si>
    <t>사무실 운영비(Print&amp;Scan, 택배, 청소, 생수7월분 등)</t>
  </si>
  <si>
    <t>여비교통비(김명관책임 ESWIN출장 건)</t>
  </si>
  <si>
    <t xml:space="preserve">7월 환율 차이 </t>
    <phoneticPr fontId="11" type="noConversion"/>
  </si>
  <si>
    <t>주차비 900, 주유비 2,063, 톨비 4</t>
    <phoneticPr fontId="16" type="noConversion"/>
  </si>
  <si>
    <t>지급임차료</t>
    <phoneticPr fontId="16" type="noConversion"/>
  </si>
  <si>
    <t>사무실관리</t>
    <phoneticPr fontId="16" type="noConversion"/>
  </si>
  <si>
    <t>차량임차료</t>
    <phoneticPr fontId="16" type="noConversion"/>
  </si>
  <si>
    <t>해외지사비</t>
    <phoneticPr fontId="11" type="noConversion"/>
  </si>
  <si>
    <t>해외</t>
    <phoneticPr fontId="16" type="noConversion"/>
  </si>
  <si>
    <t>업무추진비</t>
    <phoneticPr fontId="16" type="noConversion"/>
  </si>
  <si>
    <t>일반</t>
    <phoneticPr fontId="16" type="noConversion"/>
  </si>
  <si>
    <t>여비교통비</t>
    <phoneticPr fontId="11" type="noConversion"/>
  </si>
  <si>
    <t>통신비</t>
    <phoneticPr fontId="16" type="noConversion"/>
  </si>
  <si>
    <t>기타</t>
    <phoneticPr fontId="16" type="noConversion"/>
  </si>
  <si>
    <t>주재원 수당_7월</t>
    <phoneticPr fontId="11" type="noConversion"/>
  </si>
  <si>
    <t>주재원 수당_8월</t>
    <phoneticPr fontId="11" type="noConversion"/>
  </si>
  <si>
    <t>주재원 개인소득세</t>
    <phoneticPr fontId="11" type="noConversion"/>
  </si>
  <si>
    <t>신순연</t>
    <phoneticPr fontId="16" type="noConversion"/>
  </si>
  <si>
    <t>8월 전도금 사용 내역</t>
    <phoneticPr fontId="16" type="noConversion"/>
  </si>
  <si>
    <t xml:space="preserve">신순연 통신비 </t>
    <phoneticPr fontId="16" type="noConversion"/>
  </si>
  <si>
    <t>통신비(판스챵 책임)</t>
    <phoneticPr fontId="16" type="noConversion"/>
  </si>
  <si>
    <t>7/10 송금 환율(1,299.3)</t>
    <phoneticPr fontId="16" type="noConversion"/>
  </si>
  <si>
    <t>8/10 송금 환율(1305.1)</t>
    <phoneticPr fontId="16" type="noConversion"/>
  </si>
  <si>
    <t>사무실 에어컨 및 전기/물 비용 (1434.43 환불 예정)</t>
    <phoneticPr fontId="16" type="noConversion"/>
  </si>
  <si>
    <t>생수구입</t>
    <phoneticPr fontId="16" type="noConversion"/>
  </si>
  <si>
    <t>통신비(김명관 책임)</t>
    <phoneticPr fontId="11" type="noConversion"/>
  </si>
  <si>
    <t>은행수수료</t>
    <phoneticPr fontId="11" type="noConversion"/>
  </si>
  <si>
    <t>사무실운영비</t>
    <phoneticPr fontId="11" type="noConversion"/>
  </si>
  <si>
    <t>해외지사비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</si>
  <si>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</si>
  <si>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</si>
  <si>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 수당</t>
    <phoneticPr fontId="11" type="noConversion"/>
  </si>
  <si>
    <t>차량 Rent비</t>
    <phoneticPr fontId="11" type="noConversion"/>
  </si>
  <si>
    <t>차량 기사비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</si>
  <si>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</si>
  <si>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</si>
  <si>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</si>
  <si>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</si>
  <si>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</si>
  <si>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</si>
  <si>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시내교통비(Pan shi qiang)</t>
    <phoneticPr fontId="11" type="noConversion"/>
  </si>
  <si>
    <t>해외</t>
    <phoneticPr fontId="16" type="noConversion"/>
  </si>
  <si>
    <t>IC 구입</t>
    <phoneticPr fontId="11" type="noConversion"/>
  </si>
  <si>
    <t>한국 택배비</t>
    <phoneticPr fontId="11" type="noConversion"/>
  </si>
  <si>
    <t>통신비((Pan shi qiang)</t>
    <phoneticPr fontId="11" type="noConversion"/>
  </si>
  <si>
    <t>지급임차료</t>
    <phoneticPr fontId="16" type="noConversion"/>
  </si>
  <si>
    <t>사무실임차</t>
    <phoneticPr fontId="16" type="noConversion"/>
  </si>
  <si>
    <t>차량</t>
    <phoneticPr fontId="16" type="noConversion"/>
  </si>
  <si>
    <t>여비교통비</t>
    <phoneticPr fontId="16" type="noConversion"/>
  </si>
  <si>
    <t>통신비</t>
    <phoneticPr fontId="16" type="noConversion"/>
  </si>
  <si>
    <t>기타</t>
    <phoneticPr fontId="16" type="noConversion"/>
  </si>
  <si>
    <t>9월 전도금 사용 내역</t>
    <phoneticPr fontId="16" type="noConversion"/>
  </si>
  <si>
    <t>잡이익</t>
  </si>
  <si>
    <t>주재원 5대보험</t>
    <phoneticPr fontId="11" type="noConversion"/>
  </si>
  <si>
    <t>사무실 임대료_8월</t>
    <phoneticPr fontId="11" type="noConversion"/>
  </si>
  <si>
    <t>사무실 임대료_9월</t>
    <phoneticPr fontId="11" type="noConversion"/>
  </si>
  <si>
    <t>은행수수료</t>
    <phoneticPr fontId="11" type="noConversion"/>
  </si>
  <si>
    <t>해외지사비</t>
    <phoneticPr fontId="11" type="noConversion"/>
  </si>
  <si>
    <t>예금이자</t>
    <phoneticPr fontId="11" type="noConversion"/>
  </si>
  <si>
    <t>주재원 대행 수수료</t>
    <phoneticPr fontId="11" type="noConversion"/>
  </si>
  <si>
    <t>신순연</t>
    <phoneticPr fontId="11" type="noConversion"/>
  </si>
  <si>
    <t>주재원 개인소득세</t>
    <phoneticPr fontId="11" type="noConversion"/>
  </si>
  <si>
    <t>주재원 주택 수당</t>
    <phoneticPr fontId="11" type="noConversion"/>
  </si>
  <si>
    <t>김명관</t>
    <phoneticPr fontId="11" type="noConversion"/>
  </si>
  <si>
    <t>현채인</t>
    <phoneticPr fontId="11" type="noConversion"/>
  </si>
  <si>
    <t>잡이익</t>
    <phoneticPr fontId="11" type="noConversion"/>
  </si>
  <si>
    <t>주재원 수당</t>
    <phoneticPr fontId="11" type="noConversion"/>
  </si>
  <si>
    <t>8/10 송금 환율(1305.1)</t>
    <phoneticPr fontId="16" type="noConversion"/>
  </si>
  <si>
    <t>9/10 송금 환율(1381.2)</t>
    <phoneticPr fontId="16" type="noConversion"/>
  </si>
  <si>
    <t>10월 전도금 사용 내역</t>
    <phoneticPr fontId="16" type="noConversion"/>
  </si>
  <si>
    <t>통신비(사무실 wifi비) 9, 10월</t>
    <phoneticPr fontId="11" type="noConversion"/>
  </si>
  <si>
    <t>은행수수료</t>
    <phoneticPr fontId="11" type="noConversion"/>
  </si>
  <si>
    <t>9월 사무실 관리비 중복 입금 반환 입금</t>
    <phoneticPr fontId="11" type="noConversion"/>
  </si>
  <si>
    <t>사무실 운영세금(7, 8, 9월 분)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</si>
  <si>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</si>
  <si>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</si>
  <si>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</si>
  <si>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</si>
  <si>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</si>
  <si>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신순연</t>
    <phoneticPr fontId="11" type="noConversion"/>
  </si>
  <si>
    <t>주유비, 주차비, 톨비</t>
    <phoneticPr fontId="11" type="noConversion"/>
  </si>
  <si>
    <t>주유비 1291, 주치바 900, 톨비 14</t>
    <phoneticPr fontId="11" type="noConversion"/>
  </si>
  <si>
    <t>여비교통비(Pan Shi Qiang 출장 교통비 및 숙박비)</t>
    <phoneticPr fontId="11" type="noConversion"/>
  </si>
  <si>
    <t>시내교통비(Pan Shi Qiang)</t>
    <phoneticPr fontId="11" type="noConversion"/>
  </si>
  <si>
    <t>통신비(Pan Shi Qiang)</t>
    <phoneticPr fontId="11" type="noConversion"/>
  </si>
  <si>
    <t>업무추진비(김명관 책임)</t>
    <phoneticPr fontId="11" type="noConversion"/>
  </si>
  <si>
    <r>
      <t>통신비(김명관</t>
    </r>
    <r>
      <rPr>
        <sz val="10"/>
        <color theme="1"/>
        <rFont val="맑은 고딕"/>
        <family val="3"/>
        <charset val="129"/>
        <scheme val="minor"/>
      </rPr>
      <t xml:space="preserve"> 책임)</t>
    </r>
    <phoneticPr fontId="11" type="noConversion"/>
  </si>
  <si>
    <t>청소비 9,10월</t>
    <phoneticPr fontId="11" type="noConversion"/>
  </si>
  <si>
    <t>택배</t>
    <phoneticPr fontId="11" type="noConversion"/>
  </si>
  <si>
    <t>Print 및 Scan비</t>
    <phoneticPr fontId="11" type="noConversion"/>
  </si>
  <si>
    <r>
      <t>사무실 운영비</t>
    </r>
    <r>
      <rPr>
        <sz val="10"/>
        <color theme="1"/>
        <rFont val="맑은 고딕"/>
        <family val="3"/>
        <charset val="129"/>
        <scheme val="minor"/>
      </rPr>
      <t>(신순연 책임 한국 등록증 연장 의뢰 비용)</t>
    </r>
    <phoneticPr fontId="11" type="noConversion"/>
  </si>
  <si>
    <r>
      <t>9월</t>
    </r>
    <r>
      <rPr>
        <sz val="10"/>
        <color theme="1"/>
        <rFont val="맑은 고딕"/>
        <family val="3"/>
        <charset val="129"/>
        <scheme val="minor"/>
      </rPr>
      <t xml:space="preserve"> 사무실 관리비 에어컨, 전기/물 비용</t>
    </r>
    <phoneticPr fontId="11" type="noConversion"/>
  </si>
  <si>
    <t>사무실 임대료_9월 환율</t>
    <phoneticPr fontId="11" type="noConversion"/>
  </si>
  <si>
    <t>사무실 임대료_10월 환율</t>
    <phoneticPr fontId="11" type="noConversion"/>
  </si>
  <si>
    <r>
      <t>휴가비(신순연</t>
    </r>
    <r>
      <rPr>
        <sz val="10"/>
        <color theme="1"/>
        <rFont val="맑은 고딕"/>
        <family val="3"/>
        <charset val="129"/>
        <scheme val="minor"/>
      </rPr>
      <t xml:space="preserve"> 책임, 심천 to 서월 왕복 항공권, 핵산 검사 비용 및 격리 비용)</t>
    </r>
    <phoneticPr fontId="11" type="noConversion"/>
  </si>
  <si>
    <t>지급임차료</t>
    <phoneticPr fontId="16" type="noConversion"/>
  </si>
  <si>
    <t>차량임차료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</si>
  <si>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</si>
  <si>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</si>
  <si>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</si>
  <si>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</si>
  <si>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</si>
  <si>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기타</t>
    <phoneticPr fontId="11" type="noConversion"/>
  </si>
  <si>
    <t>4.09 추가 인출 완료</t>
    <phoneticPr fontId="11" type="noConversion"/>
  </si>
  <si>
    <t>신순연 책임 시내교통비 인출 시 발생 수수료 *교통비 재입금</t>
    <phoneticPr fontId="11" type="noConversion"/>
  </si>
  <si>
    <t>10/10 송금 환율(1,410.3)</t>
    <phoneticPr fontId="16" type="noConversion"/>
  </si>
  <si>
    <t>9/10 송금 환율(1381.2)</t>
    <phoneticPr fontId="16" type="noConversion"/>
  </si>
  <si>
    <t>USD 입금</t>
  </si>
  <si>
    <t>신순연 책임_Print 및 Sacn비용(사무실 운영비)</t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</si>
  <si>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</si>
  <si>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</si>
  <si>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</si>
  <si>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</si>
  <si>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업무추진비</t>
    <phoneticPr fontId="11" type="noConversion"/>
  </si>
  <si>
    <t>통신비(Pan Shi Qiang 책임)</t>
    <phoneticPr fontId="11" type="noConversion"/>
  </si>
  <si>
    <t>시내교통비</t>
    <phoneticPr fontId="11" type="noConversion"/>
  </si>
  <si>
    <t>택배비용</t>
    <phoneticPr fontId="11" type="noConversion"/>
  </si>
  <si>
    <t>사무비품</t>
    <phoneticPr fontId="11" type="noConversion"/>
  </si>
  <si>
    <t>청소비</t>
    <phoneticPr fontId="11" type="noConversion"/>
  </si>
  <si>
    <t>주재원 주택 수당_10월 환율</t>
    <phoneticPr fontId="11" type="noConversion"/>
  </si>
  <si>
    <t>주재원 주택 수당_11월 환율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</si>
  <si>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</si>
  <si>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</si>
  <si>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</si>
  <si>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사무실 에어컨, 수도, 전기, 관리비</t>
    <phoneticPr fontId="16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</si>
  <si>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</si>
  <si>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</si>
  <si>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</si>
  <si>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</si>
  <si>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사무실 Internet비용</t>
    <phoneticPr fontId="11" type="noConversion"/>
  </si>
  <si>
    <t>기타</t>
    <phoneticPr fontId="11" type="noConversion"/>
  </si>
  <si>
    <t>은행수수료</t>
  </si>
  <si>
    <t>11월 전도금 사용 내역</t>
    <phoneticPr fontId="16" type="noConversion"/>
  </si>
  <si>
    <t>사무비품(생수,쓰레기봉투)</t>
    <phoneticPr fontId="11" type="noConversion"/>
  </si>
  <si>
    <t>11/10 송금 환율(1368.3)</t>
    <phoneticPr fontId="16" type="noConversion"/>
  </si>
  <si>
    <t>12월 전도금 사용 내역</t>
    <phoneticPr fontId="16" type="noConversion"/>
  </si>
  <si>
    <t>이자 입금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</si>
  <si>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</si>
  <si>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</si>
  <si>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</si>
  <si>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</si>
  <si>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</si>
  <si>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</si>
  <si>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</si>
  <si>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</si>
  <si>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</si>
  <si>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</si>
  <si>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세무대행비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</si>
  <si>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</si>
  <si>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</si>
  <si>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</si>
  <si>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</si>
  <si>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</si>
  <si>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</si>
  <si>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</si>
  <si>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여비교통비_김명관_HKC충칭 출장건</t>
    <phoneticPr fontId="11" type="noConversion"/>
  </si>
  <si>
    <t>업무추진비_신순연</t>
    <phoneticPr fontId="11" type="noConversion"/>
  </si>
  <si>
    <t>사무실 운영비_신순연</t>
    <phoneticPr fontId="11" type="noConversion"/>
  </si>
  <si>
    <t>여비교통비_신순연_HKC충칭 출장건</t>
    <phoneticPr fontId="11" type="noConversion"/>
  </si>
  <si>
    <t>시내교통비_신순연</t>
    <phoneticPr fontId="11" type="noConversion"/>
  </si>
  <si>
    <t>사무실 Internet비용</t>
    <phoneticPr fontId="11" type="noConversion"/>
  </si>
  <si>
    <t>업무추진비_김명관</t>
    <phoneticPr fontId="11" type="noConversion"/>
  </si>
  <si>
    <t>청소비</t>
    <phoneticPr fontId="11" type="noConversion"/>
  </si>
  <si>
    <t>통신비_신순연</t>
    <phoneticPr fontId="11" type="noConversion"/>
  </si>
  <si>
    <t>사무실 에어컨, 수도, 전기, 관리비</t>
    <phoneticPr fontId="11" type="noConversion"/>
  </si>
  <si>
    <t>사무비품</t>
    <phoneticPr fontId="11" type="noConversion"/>
  </si>
  <si>
    <t>택배</t>
    <phoneticPr fontId="11" type="noConversion"/>
  </si>
  <si>
    <t>해외지사비</t>
    <phoneticPr fontId="11" type="noConversion"/>
  </si>
  <si>
    <t>주택수당_11월 환율</t>
    <phoneticPr fontId="11" type="noConversion"/>
  </si>
  <si>
    <t>사무실관리</t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</si>
  <si>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</si>
  <si>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</si>
  <si>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</si>
  <si>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</si>
  <si>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</si>
  <si>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</si>
  <si>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4(영수증 다음주 Update)</t>
    <phoneticPr fontId="11" type="noConversion"/>
  </si>
  <si>
    <t>11/10 송금 환율(1368.3)</t>
    <phoneticPr fontId="16" type="noConversion"/>
  </si>
  <si>
    <t>12/10 송금 환율(1306.6)</t>
    <phoneticPr fontId="16" type="noConversion"/>
  </si>
  <si>
    <t>신순연</t>
    <phoneticPr fontId="11" type="noConversion"/>
  </si>
  <si>
    <t>업체 춘절 휴가로 인해 영수증 미확보, 차월 입수 예정</t>
    <phoneticPr fontId="11" type="noConversion"/>
  </si>
  <si>
    <t>항공료 4838, 호텔비 930</t>
    <phoneticPr fontId="11" type="noConversion"/>
  </si>
  <si>
    <t>사무실 운영세금(2022년 10월, 11월, 12월 해당)</t>
    <phoneticPr fontId="11" type="noConversion"/>
  </si>
  <si>
    <t>USD 입금 및 RMB 환전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</si>
  <si>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</si>
  <si>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</si>
  <si>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</si>
  <si>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</si>
  <si>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</si>
  <si>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</si>
  <si>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</si>
  <si>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차량 Rent비</t>
    <phoneticPr fontId="11" type="noConversion"/>
  </si>
  <si>
    <t>차량 기사비</t>
    <phoneticPr fontId="11" type="noConversion"/>
  </si>
  <si>
    <t>세무대행비</t>
    <phoneticPr fontId="11" type="noConversion"/>
  </si>
  <si>
    <t>사무실 에어컨, 수도, 전기, 관리비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</si>
  <si>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</si>
  <si>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</si>
  <si>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</si>
  <si>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사무실운영비(물류비)_pan책임</t>
    <phoneticPr fontId="11" type="noConversion"/>
  </si>
  <si>
    <t>통신비_pan책임</t>
    <phoneticPr fontId="11" type="noConversion"/>
  </si>
  <si>
    <t>업무추진비_pan책임</t>
    <phoneticPr fontId="11" type="noConversion"/>
  </si>
  <si>
    <t>여비교통비_김명관_HKC H2 출장건</t>
    <phoneticPr fontId="11" type="noConversion"/>
  </si>
  <si>
    <t>업무추진비_김명관</t>
    <phoneticPr fontId="11" type="noConversion"/>
  </si>
  <si>
    <t>여비교통비_신순연</t>
    <phoneticPr fontId="11" type="noConversion"/>
  </si>
  <si>
    <t>사무실 wifi</t>
    <phoneticPr fontId="11" type="noConversion"/>
  </si>
  <si>
    <t>시내교통비_신순연</t>
    <phoneticPr fontId="11" type="noConversion"/>
  </si>
  <si>
    <t>업무추진비_신순연</t>
    <phoneticPr fontId="11" type="noConversion"/>
  </si>
  <si>
    <t>사무실 운영비(진단키트, 소독제, 택배비, 청소비)</t>
    <phoneticPr fontId="11" type="noConversion"/>
  </si>
  <si>
    <t>1월 전도금 사용 내역</t>
    <phoneticPr fontId="16" type="noConversion"/>
  </si>
  <si>
    <t>주택수당_12월 환율</t>
    <phoneticPr fontId="11" type="noConversion"/>
  </si>
  <si>
    <t>주택수당_1월 환율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</si>
  <si>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</si>
  <si>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</si>
  <si>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</si>
  <si>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</si>
  <si>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</si>
  <si>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</si>
  <si>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</si>
  <si>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여비교통비_pan책임</t>
    <phoneticPr fontId="11" type="noConversion"/>
  </si>
  <si>
    <t>통신비_신순연</t>
    <phoneticPr fontId="11" type="noConversion"/>
  </si>
  <si>
    <t>통신비_김명관</t>
    <phoneticPr fontId="11" type="noConversion"/>
  </si>
  <si>
    <t>12/10 송금 환율(1306.6)</t>
    <phoneticPr fontId="16" type="noConversion"/>
  </si>
  <si>
    <t>영수증 6851.89로 합산 / 87로 인출 -&gt; 신순연 책임이 덜 받기로 함 0.2</t>
    <phoneticPr fontId="11" type="noConversion"/>
  </si>
  <si>
    <t>1/10 송금 환율(1,246.8)</t>
    <phoneticPr fontId="16" type="noConversion"/>
  </si>
  <si>
    <t>2월 전도금 사용 내역</t>
    <phoneticPr fontId="16" type="noConversion"/>
  </si>
  <si>
    <t>USD 입금 및 RMB 환전</t>
    <phoneticPr fontId="16" type="noConversion"/>
  </si>
  <si>
    <t>사무실 에어컨, 수도, 전기, 관리비</t>
    <phoneticPr fontId="16" type="noConversion"/>
  </si>
  <si>
    <t>세무대행비</t>
    <phoneticPr fontId="16" type="noConversion"/>
  </si>
  <si>
    <t>여비교통비_김명관_HKC H2 출장건_항공료</t>
    <phoneticPr fontId="16" type="noConversion"/>
  </si>
  <si>
    <t>여비교통비_김명관_HKC H2 출장건_숙박비</t>
    <phoneticPr fontId="16" type="noConversion"/>
  </si>
  <si>
    <t>휴가비_김명관 책임</t>
    <phoneticPr fontId="16" type="noConversion"/>
  </si>
  <si>
    <t>여비교통비_신순연_HKC H2 출장건(항공료 + 숙박비)</t>
    <phoneticPr fontId="16" type="noConversion"/>
  </si>
  <si>
    <t>통신비_신순연(사무실 wifi비용 미포함_차월 정산 예정)</t>
    <phoneticPr fontId="16" type="noConversion"/>
  </si>
  <si>
    <t>시내교통비_신순연</t>
    <phoneticPr fontId="16" type="noConversion"/>
  </si>
  <si>
    <t>설 선물(Gift Card)</t>
    <phoneticPr fontId="16" type="noConversion"/>
  </si>
  <si>
    <t>업무추진비_신순연</t>
    <phoneticPr fontId="16" type="noConversion"/>
  </si>
  <si>
    <t>사무실 운영비</t>
    <phoneticPr fontId="16" type="noConversion"/>
  </si>
  <si>
    <t>기사님 1월 야근비</t>
    <phoneticPr fontId="16" type="noConversion"/>
  </si>
  <si>
    <t>USD 입금 및 RMB 환전</t>
    <phoneticPr fontId="11" type="noConversion"/>
  </si>
  <si>
    <t>사무실 임대료</t>
    <phoneticPr fontId="11" type="noConversion"/>
  </si>
  <si>
    <t>사무실 에어컨, 수도, 전기, 관리비</t>
    <phoneticPr fontId="11" type="noConversion"/>
  </si>
  <si>
    <t>세무대행비</t>
    <phoneticPr fontId="11" type="noConversion"/>
  </si>
  <si>
    <t>여비교통비_김명관_HKC H2 출장건_항공료</t>
    <phoneticPr fontId="11" type="noConversion"/>
  </si>
  <si>
    <t>여비교통비_김명관_HKC H2 출장건_숙박비</t>
    <phoneticPr fontId="11" type="noConversion"/>
  </si>
  <si>
    <t>휴가비_김명관 책임</t>
    <phoneticPr fontId="11" type="noConversion"/>
  </si>
  <si>
    <t>여비교통비_신순연_HKC H2 출장건(항공료 + 숙박비)</t>
    <phoneticPr fontId="11" type="noConversion"/>
  </si>
  <si>
    <t>통신비_신순연(사무실 wifi비용 미포함_차월 정산 예정)</t>
    <phoneticPr fontId="11" type="noConversion"/>
  </si>
  <si>
    <t>시내교통비_신순연</t>
    <phoneticPr fontId="11" type="noConversion"/>
  </si>
  <si>
    <t>설 선물(Gift Card)</t>
    <phoneticPr fontId="11" type="noConversion"/>
  </si>
  <si>
    <t>업무추진비_신순연</t>
    <phoneticPr fontId="11" type="noConversion"/>
  </si>
  <si>
    <t>사무실 운영비</t>
    <phoneticPr fontId="11" type="noConversion"/>
  </si>
  <si>
    <t>OC 구매 비용</t>
    <phoneticPr fontId="11" type="noConversion"/>
  </si>
  <si>
    <t>기사님 1월 야근비</t>
    <phoneticPr fontId="11" type="noConversion"/>
  </si>
  <si>
    <t>사무실 임대료 / 영수증 추후 업뎃</t>
    <phoneticPr fontId="16" type="noConversion"/>
  </si>
  <si>
    <t>지급임차료</t>
    <phoneticPr fontId="11" type="noConversion"/>
  </si>
  <si>
    <t>사무실</t>
    <phoneticPr fontId="11" type="noConversion"/>
  </si>
  <si>
    <t>해외지사비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</si>
  <si>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</si>
  <si>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</si>
  <si>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</si>
  <si>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업무추진비</t>
    <phoneticPr fontId="11" type="noConversion"/>
  </si>
  <si>
    <t>택배비</t>
    <phoneticPr fontId="11" type="noConversion"/>
  </si>
  <si>
    <t>통신비</t>
    <phoneticPr fontId="11" type="noConversion"/>
  </si>
  <si>
    <t>시내교통비</t>
    <phoneticPr fontId="11" type="noConversion"/>
  </si>
  <si>
    <t>청소비</t>
    <phoneticPr fontId="11" type="noConversion"/>
  </si>
  <si>
    <t>사무실운영비(프린트설치)</t>
    <phoneticPr fontId="11" type="noConversion"/>
  </si>
  <si>
    <t>업무추진비</t>
    <phoneticPr fontId="11" type="noConversion"/>
  </si>
  <si>
    <t>일반</t>
    <phoneticPr fontId="11" type="noConversion"/>
  </si>
  <si>
    <t>해외지사비</t>
    <phoneticPr fontId="11" type="noConversion"/>
  </si>
  <si>
    <t>소모품비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</si>
  <si>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</si>
  <si>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</si>
  <si>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</si>
  <si>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주택수당</t>
    <phoneticPr fontId="11" type="noConversion"/>
  </si>
  <si>
    <t>해외지사비</t>
    <phoneticPr fontId="11" type="noConversion"/>
  </si>
  <si>
    <t>김명관</t>
    <phoneticPr fontId="11" type="noConversion"/>
  </si>
  <si>
    <t>주재원수당_1월 환율</t>
    <phoneticPr fontId="11" type="noConversion"/>
  </si>
  <si>
    <t>주재원수당_2월 환율</t>
    <phoneticPr fontId="11" type="noConversion"/>
  </si>
  <si>
    <t>소모품비 (제품기술팀)</t>
    <phoneticPr fontId="11" type="noConversion"/>
  </si>
  <si>
    <t>기사 2월 야근비용</t>
    <phoneticPr fontId="11" type="noConversion"/>
  </si>
  <si>
    <t>현채인급여</t>
    <phoneticPr fontId="11" type="noConversion"/>
  </si>
  <si>
    <t>1/10 송금 환율(1,246.8)</t>
    <phoneticPr fontId="16" type="noConversion"/>
  </si>
  <si>
    <t>2/10 송금 환율(1,263.1)</t>
    <phoneticPr fontId="16" type="noConversion"/>
  </si>
  <si>
    <t>DB6T8930 사전 평가 용 75UD OC 4매 구매 금액</t>
  </si>
  <si>
    <t>사무실 에어컨, 수도, 전기, 관리비</t>
  </si>
  <si>
    <t>통신비_김명관 책임</t>
  </si>
  <si>
    <t>여비교통비_출장 숙박 및 항공비_김명관 책임</t>
  </si>
  <si>
    <t>업무추진비_김명관 책임</t>
  </si>
  <si>
    <t>시내교통비_김명관 책임</t>
  </si>
  <si>
    <t>시내교통비_신순연 책임</t>
  </si>
  <si>
    <t>여비교통비_출장 숙박 및 항공비_신순연 책임(도시와 도시사이의 장거리 택시비 포함)</t>
  </si>
  <si>
    <t>업무추진비_신순연 책임</t>
  </si>
  <si>
    <t>USD 입금 및 RMB 환전</t>
    <phoneticPr fontId="11" type="noConversion"/>
  </si>
  <si>
    <t>OC 구매 비용(제품기술팀) / Open cell set 6,000. 구동 보드 800 / 1,259,879원</t>
    <phoneticPr fontId="16" type="noConversion"/>
  </si>
  <si>
    <t>잡이익</t>
    <phoneticPr fontId="11" type="noConversion"/>
  </si>
  <si>
    <t>기사 3월 야근비용</t>
    <phoneticPr fontId="11" type="noConversion"/>
  </si>
  <si>
    <t>3.16~4.15 월세 증가분은 차월에 같이 정산 하기로 협의 함</t>
  </si>
  <si>
    <t>톨비</t>
    <phoneticPr fontId="11" type="noConversion"/>
  </si>
  <si>
    <t>주차비</t>
    <phoneticPr fontId="11" type="noConversion"/>
  </si>
  <si>
    <t>주유비</t>
    <phoneticPr fontId="11" type="noConversion"/>
  </si>
  <si>
    <t>통신비(판책임)</t>
    <phoneticPr fontId="11" type="noConversion"/>
  </si>
  <si>
    <t>택배비</t>
    <phoneticPr fontId="11" type="noConversion"/>
  </si>
  <si>
    <t>시내교통비(판책임)</t>
    <phoneticPr fontId="11" type="noConversion"/>
  </si>
  <si>
    <t>사무실운영비(택배비)</t>
    <phoneticPr fontId="11" type="noConversion"/>
  </si>
  <si>
    <t>사무실운영비(Scan)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</si>
  <si>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</si>
  <si>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</si>
  <si>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통신비_신순연 책임</t>
    <phoneticPr fontId="11" type="noConversion"/>
  </si>
  <si>
    <t>주택보증금</t>
    <phoneticPr fontId="11" type="noConversion"/>
  </si>
  <si>
    <t>부동산중개수수료</t>
    <phoneticPr fontId="11" type="noConversion"/>
  </si>
  <si>
    <t>3/13 60,000 출금 수수료 -&gt; 3/21, 22 회사 통장으로 반환하여 내역 삭제</t>
    <phoneticPr fontId="11" type="noConversion"/>
  </si>
  <si>
    <t>해외지사비</t>
    <phoneticPr fontId="11" type="noConversion"/>
  </si>
  <si>
    <t>소모품비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</si>
  <si>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</si>
  <si>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</si>
  <si>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</si>
  <si>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</si>
  <si>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</si>
  <si>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</si>
  <si>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</si>
  <si>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</si>
  <si>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</si>
  <si>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사무실 임대료_2월 환율</t>
    <phoneticPr fontId="11" type="noConversion"/>
  </si>
  <si>
    <t>사무실 임대료_3월 환율</t>
    <phoneticPr fontId="11" type="noConversion"/>
  </si>
  <si>
    <t>3월 전도금 사용 내역</t>
    <phoneticPr fontId="16" type="noConversion"/>
  </si>
  <si>
    <t>D2A240</t>
  </si>
  <si>
    <t>3/10 송금 환율(1,319.7)</t>
    <phoneticPr fontId="16" type="noConversion"/>
  </si>
  <si>
    <t>2/10 송금 환율(1,263.1)</t>
    <phoneticPr fontId="16" type="noConversion"/>
  </si>
  <si>
    <t>4월 전도금 사용 내역</t>
    <phoneticPr fontId="16" type="noConversion"/>
  </si>
  <si>
    <t>USD 입금 및 RMB 환전</t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</si>
  <si>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</si>
  <si>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</si>
  <si>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</si>
  <si>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OC 구매 비용(제품기술팀)</t>
    <phoneticPr fontId="11" type="noConversion"/>
  </si>
  <si>
    <t>제품기술팀</t>
  </si>
  <si>
    <t>사무실 Internet비용(1월 &amp; 2월 사용 분)</t>
    <phoneticPr fontId="11" type="noConversion"/>
  </si>
  <si>
    <t>1원 더 적게 인출</t>
    <phoneticPr fontId="11" type="noConversion"/>
  </si>
  <si>
    <t>사무실 운영 세금(1월~3월 분)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</si>
  <si>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</si>
  <si>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</si>
  <si>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</si>
  <si>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</si>
  <si>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</si>
  <si>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현채인급여</t>
    <phoneticPr fontId="11" type="noConversion"/>
  </si>
  <si>
    <t>은행수수료</t>
    <phoneticPr fontId="11" type="noConversion"/>
  </si>
  <si>
    <t>사무실 임대료(3월 임대료 상승 분 차액 추가)</t>
    <phoneticPr fontId="11" type="noConversion"/>
  </si>
  <si>
    <t>사무실 관리비(전기, 수도, 에어컨)</t>
    <phoneticPr fontId="11" type="noConversion"/>
  </si>
  <si>
    <t>차량 Rent비</t>
    <phoneticPr fontId="11" type="noConversion"/>
  </si>
  <si>
    <t>차량 기사비</t>
    <phoneticPr fontId="11" type="noConversion"/>
  </si>
  <si>
    <t>세무대행사(3월분기장비, 2023년도장부비, 취업비자연장, 가족비자(2명), 증치세)</t>
    <phoneticPr fontId="11" type="noConversion"/>
  </si>
  <si>
    <t>택배비</t>
    <phoneticPr fontId="11" type="noConversion"/>
  </si>
  <si>
    <t>통신비_판책임</t>
    <phoneticPr fontId="11" type="noConversion"/>
  </si>
  <si>
    <t>시내교통비_판책임</t>
    <phoneticPr fontId="11" type="noConversion"/>
  </si>
  <si>
    <t>Liu Ming Liang(주차비)</t>
    <phoneticPr fontId="11" type="noConversion"/>
  </si>
  <si>
    <t>Liu Ming Liang(주유비)</t>
    <phoneticPr fontId="11" type="noConversion"/>
  </si>
  <si>
    <t>Liu Ming Liang(톨비)</t>
    <phoneticPr fontId="11" type="noConversion"/>
  </si>
  <si>
    <t>업무추진비(김명관 책임)</t>
    <phoneticPr fontId="11" type="noConversion"/>
  </si>
  <si>
    <t>비자연장용 건강검진비용(김명관 책임)</t>
    <phoneticPr fontId="11" type="noConversion"/>
  </si>
  <si>
    <t>여비교통비_춟장교통비 및 숙박비(김명관 책임)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</si>
  <si>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</si>
  <si>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</si>
  <si>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사무실운영비(택배비)</t>
    <phoneticPr fontId="11" type="noConversion"/>
  </si>
  <si>
    <t>사무실운영비(CSOT 출입증 연장 관련)</t>
    <phoneticPr fontId="11" type="noConversion"/>
  </si>
  <si>
    <t>DB6T8930 사전 평가용 Code Writing기기 구매(본사 응기팀 송부)</t>
    <phoneticPr fontId="11" type="noConversion"/>
  </si>
  <si>
    <t>DB6T8930 비교 분석 용 경쟁사 IC 구매(본사 응기팀 송부)</t>
    <phoneticPr fontId="11" type="noConversion"/>
  </si>
  <si>
    <t>여비교통비_춟장교통비 및 숙박비(신순연 책임)</t>
    <phoneticPr fontId="11" type="noConversion"/>
  </si>
  <si>
    <t>사무실 Internet비용</t>
    <phoneticPr fontId="11" type="noConversion"/>
  </si>
  <si>
    <t>통신비_신순연 책임</t>
    <phoneticPr fontId="11" type="noConversion"/>
  </si>
  <si>
    <t>업무추진비(신순연 책임)</t>
    <phoneticPr fontId="11" type="noConversion"/>
  </si>
  <si>
    <t>시내교통비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</si>
  <si>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</si>
  <si>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</si>
  <si>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</si>
  <si>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차량임차료</t>
    <phoneticPr fontId="11" type="noConversion"/>
  </si>
  <si>
    <t>통신비</t>
    <phoneticPr fontId="11" type="noConversion"/>
  </si>
  <si>
    <t>기타</t>
    <phoneticPr fontId="11" type="noConversion"/>
  </si>
  <si>
    <t>여비교통비</t>
    <phoneticPr fontId="11" type="noConversion"/>
  </si>
  <si>
    <t>해외</t>
    <phoneticPr fontId="11" type="noConversion"/>
  </si>
  <si>
    <t>업무추진비</t>
    <phoneticPr fontId="11" type="noConversion"/>
  </si>
  <si>
    <t>일반</t>
    <phoneticPr fontId="11" type="noConversion"/>
  </si>
  <si>
    <t>4/10 송금 환율(1,318.9)</t>
    <phoneticPr fontId="16" type="noConversion"/>
  </si>
  <si>
    <t>3/10 송금 환율(1,319.7)</t>
    <phoneticPr fontId="16" type="noConversion"/>
  </si>
  <si>
    <t>[</t>
    <phoneticPr fontId="11" type="noConversion"/>
  </si>
  <si>
    <t>Internet Recruiting 비용</t>
    <phoneticPr fontId="16" type="noConversion"/>
  </si>
  <si>
    <t>Internet Banking 인증서 Download</t>
    <phoneticPr fontId="16" type="noConversion"/>
  </si>
  <si>
    <t>사무실 관리비(전기, 수도, 에어컨)</t>
    <phoneticPr fontId="16" type="noConversion"/>
  </si>
  <si>
    <t>세무대행사</t>
    <phoneticPr fontId="16" type="noConversion"/>
  </si>
  <si>
    <t>김명관 책임_자녀 학비</t>
    <phoneticPr fontId="16" type="noConversion"/>
  </si>
  <si>
    <t>김명관 책임_업무추진비</t>
    <phoneticPr fontId="16" type="noConversion"/>
  </si>
  <si>
    <t>김명관 책임_비자 연장용 비용</t>
    <phoneticPr fontId="16" type="noConversion"/>
  </si>
  <si>
    <t>김명관_시내교통비</t>
    <phoneticPr fontId="16" type="noConversion"/>
  </si>
  <si>
    <t>김명관_Su Zhou 출장건</t>
    <phoneticPr fontId="16" type="noConversion"/>
  </si>
  <si>
    <t>김명관_Bei Jing 출장건</t>
    <phoneticPr fontId="16" type="noConversion"/>
  </si>
  <si>
    <t>신순연_Bei Jing 출장건</t>
    <phoneticPr fontId="16" type="noConversion"/>
  </si>
  <si>
    <t>신순연_업무추진비</t>
    <phoneticPr fontId="16" type="noConversion"/>
  </si>
  <si>
    <t>신순연_시내교통비</t>
    <phoneticPr fontId="16" type="noConversion"/>
  </si>
  <si>
    <t>.01 더 적게 인출</t>
    <phoneticPr fontId="11" type="noConversion"/>
  </si>
  <si>
    <t>Pan Shi Qiang책임</t>
  </si>
  <si>
    <t>사무용품비</t>
    <phoneticPr fontId="11" type="noConversion"/>
  </si>
  <si>
    <t>IC담는 작은 박스 구입</t>
    <phoneticPr fontId="11" type="noConversion"/>
  </si>
  <si>
    <t>Liu Ming Liang(주차비)</t>
    <phoneticPr fontId="16" type="noConversion"/>
  </si>
  <si>
    <t>Liu Ming Liang(주유비)</t>
    <phoneticPr fontId="16" type="noConversion"/>
  </si>
  <si>
    <t>Liu Ming Liang(톨비)</t>
    <phoneticPr fontId="16" type="noConversion"/>
  </si>
  <si>
    <t>사무실운영비_택배비</t>
    <phoneticPr fontId="11" type="noConversion"/>
  </si>
  <si>
    <t>사무실운영비_사무비품</t>
    <phoneticPr fontId="11" type="noConversion"/>
  </si>
  <si>
    <t>사무실운영비_청소비</t>
    <phoneticPr fontId="11" type="noConversion"/>
  </si>
  <si>
    <t>사무실운영비_스캔, 프린트</t>
    <phoneticPr fontId="11" type="noConversion"/>
  </si>
  <si>
    <t>사무실운영비_IC 구입</t>
    <phoneticPr fontId="11" type="noConversion"/>
  </si>
  <si>
    <t>/신순연 책임.</t>
    <phoneticPr fontId="16" type="noConversion"/>
  </si>
  <si>
    <t>일자</t>
    <phoneticPr fontId="16" type="noConversion"/>
  </si>
  <si>
    <t>내용</t>
    <phoneticPr fontId="16" type="noConversion"/>
  </si>
  <si>
    <t>인원</t>
    <phoneticPr fontId="16" type="noConversion"/>
  </si>
  <si>
    <t>시간</t>
    <phoneticPr fontId="16" type="noConversion"/>
  </si>
  <si>
    <t>비용</t>
    <phoneticPr fontId="16" type="noConversion"/>
  </si>
  <si>
    <t>비고</t>
    <phoneticPr fontId="16" type="noConversion"/>
  </si>
  <si>
    <t>심천지사</t>
    <phoneticPr fontId="16" type="noConversion"/>
  </si>
  <si>
    <t>5월 전도금 사용 내역</t>
    <phoneticPr fontId="16" type="noConversion"/>
  </si>
  <si>
    <t>이자</t>
  </si>
  <si>
    <t>사무실 관리비(전기, 수도, 에어컨)</t>
  </si>
  <si>
    <t>김명관 책임_시내교통비</t>
  </si>
  <si>
    <t>김명관 책임_한국 출장 항공 및 숙박비</t>
  </si>
  <si>
    <t>김명관 책임_T10 출장 항공 및 숙박비 일부</t>
  </si>
  <si>
    <t>김명관 책임_T10 출장 항공 및 숙박비 부족부분 추가 입금</t>
  </si>
  <si>
    <t>김명관 책임_충칭 출장 항공 및 숙박비</t>
  </si>
  <si>
    <t>김명관 책임_업무추진비</t>
  </si>
  <si>
    <t>신순연 책임_충창 출장 항공 및 숙박비</t>
  </si>
  <si>
    <t>신순연 책임_HKC H4 출장 항공 및 숙박비</t>
  </si>
  <si>
    <t>신순연 책임_한국 출장 항공 및 숙박비</t>
  </si>
  <si>
    <t>신순연 책임_업무추진비</t>
  </si>
  <si>
    <t>KRW</t>
  </si>
  <si>
    <t>심천지사, 강정호 부사장, 이상태 수석, 반영일 부장</t>
    <phoneticPr fontId="16" type="noConversion"/>
  </si>
  <si>
    <t>김명관 책임, 신순연 책임, 강정호 부사장, 이상태 수석, Sam부장</t>
    <phoneticPr fontId="16" type="noConversion"/>
  </si>
  <si>
    <t>청두 중 식당</t>
    <phoneticPr fontId="16" type="noConversion"/>
  </si>
  <si>
    <t>BOE</t>
    <phoneticPr fontId="16" type="noConversion"/>
  </si>
  <si>
    <t>신순연 책임, Shen Li Xia, Yu Yong</t>
    <phoneticPr fontId="16" type="noConversion"/>
  </si>
  <si>
    <t>Ji Guo Dong, 신순연 책임, 외 1명</t>
    <phoneticPr fontId="16" type="noConversion"/>
  </si>
  <si>
    <t>LSI</t>
    <phoneticPr fontId="16" type="noConversion"/>
  </si>
  <si>
    <t>/김명관 책임, 신순연 책임.</t>
    <phoneticPr fontId="16" type="noConversion"/>
  </si>
  <si>
    <t>CSOT/LGE</t>
    <phoneticPr fontId="16" type="noConversion"/>
  </si>
  <si>
    <t>CSOT(Tony총감, Jed Han전문가, Li Yin Shi), LGE 2명, 김명관 책임, 신순연 책임.</t>
    <phoneticPr fontId="16" type="noConversion"/>
  </si>
  <si>
    <t>LGE</t>
    <phoneticPr fontId="16" type="noConversion"/>
  </si>
  <si>
    <t>LGE 2명 추가 금액 발생</t>
    <phoneticPr fontId="16" type="noConversion"/>
  </si>
  <si>
    <t>Li Yin Shi, 신순연 책임.</t>
    <phoneticPr fontId="16" type="noConversion"/>
  </si>
  <si>
    <t>TCL</t>
    <phoneticPr fontId="16" type="noConversion"/>
  </si>
  <si>
    <t>Lin Jie Ting, 김명관 책임, 신순연 책임.</t>
    <phoneticPr fontId="16" type="noConversion"/>
  </si>
  <si>
    <t>심천 coffee shop</t>
    <phoneticPr fontId="16" type="noConversion"/>
  </si>
  <si>
    <t>TCL/CSOT</t>
    <phoneticPr fontId="16" type="noConversion"/>
  </si>
  <si>
    <t>Lin Jie Ting, 김명관 책임, 신순연 책임, 외 2명</t>
    <phoneticPr fontId="16" type="noConversion"/>
  </si>
  <si>
    <t>Huang Lei Jing, 신순연 책임, 외1명</t>
    <phoneticPr fontId="16" type="noConversion"/>
  </si>
  <si>
    <t>Liu Kai Yu, 신순연 책임.</t>
    <phoneticPr fontId="16" type="noConversion"/>
  </si>
  <si>
    <t>Lan Qing Sheng, 신순연 책임.</t>
    <phoneticPr fontId="16" type="noConversion"/>
  </si>
  <si>
    <t>Kiwi/ANAX</t>
    <phoneticPr fontId="16" type="noConversion"/>
  </si>
  <si>
    <t>Zhao Nian, 신순연 책임.</t>
    <phoneticPr fontId="16" type="noConversion"/>
  </si>
  <si>
    <t>충칭 중 식당</t>
    <phoneticPr fontId="16" type="noConversion"/>
  </si>
  <si>
    <t>HKC</t>
    <phoneticPr fontId="16" type="noConversion"/>
  </si>
  <si>
    <t>Liao Yi Jiang, Li Jing Ru과장, 김명관 책임, 신순연 책임.</t>
    <phoneticPr fontId="16" type="noConversion"/>
  </si>
  <si>
    <t>Fu Wei, 김명관 책임, 신순연 책임.</t>
    <phoneticPr fontId="16" type="noConversion"/>
  </si>
  <si>
    <t>단오 선물</t>
    <phoneticPr fontId="16" type="noConversion"/>
  </si>
  <si>
    <t>Gu Tao과장, Fu Wei부장</t>
    <phoneticPr fontId="16" type="noConversion"/>
  </si>
  <si>
    <t>신생아 선물</t>
    <phoneticPr fontId="16" type="noConversion"/>
  </si>
  <si>
    <t>Gu Tao과장</t>
    <phoneticPr fontId="16" type="noConversion"/>
  </si>
  <si>
    <t>Tony총감 술 선물</t>
    <phoneticPr fontId="16" type="noConversion"/>
  </si>
  <si>
    <t>Tony총감</t>
    <phoneticPr fontId="16" type="noConversion"/>
  </si>
  <si>
    <t>CSOT(Tony총감, Jed Han전문가), LGE 2명, 김명관 책임</t>
    <phoneticPr fontId="16" type="noConversion"/>
  </si>
  <si>
    <t>쑤저우 중 식당</t>
    <phoneticPr fontId="16" type="noConversion"/>
  </si>
  <si>
    <t>Meng Xiang대리점 2명, T10 조달 인원, 김명관 책임.</t>
    <phoneticPr fontId="16" type="noConversion"/>
  </si>
  <si>
    <t>기사 6월 야근비용</t>
    <phoneticPr fontId="11" type="noConversion"/>
  </si>
  <si>
    <t>Pan Shi Qiang책임(시내교통비)</t>
    <phoneticPr fontId="11" type="noConversion"/>
  </si>
  <si>
    <t>Pan Shi Qiang책임(통신비)</t>
    <phoneticPr fontId="11" type="noConversion"/>
  </si>
  <si>
    <t>Pan Shi Qiang책임(택배비)</t>
    <phoneticPr fontId="11" type="noConversion"/>
  </si>
  <si>
    <t>사무실운영비_지사 설립용 사진 촬영</t>
    <phoneticPr fontId="11" type="noConversion"/>
  </si>
  <si>
    <t>주재원 개인소득세_4월 환율</t>
    <phoneticPr fontId="11" type="noConversion"/>
  </si>
  <si>
    <t>주재원 개인소득세_5월 환율</t>
    <phoneticPr fontId="11" type="noConversion"/>
  </si>
  <si>
    <t>신순연 책임_시내교통비</t>
    <phoneticPr fontId="11" type="noConversion"/>
  </si>
  <si>
    <t>사무실 운영 세금(지사 폐쇄로 인한 5월 ~6/12까지 발생 세금 납부)</t>
    <phoneticPr fontId="11" type="noConversion"/>
  </si>
  <si>
    <t>세무대행사</t>
    <phoneticPr fontId="11" type="noConversion"/>
  </si>
  <si>
    <t>회계감사보고서 4,600 증치세6% 276, 22년 법인세 보고 포함</t>
    <phoneticPr fontId="11" type="noConversion"/>
  </si>
  <si>
    <t>6/10 송금 환율(1,300.5)</t>
    <phoneticPr fontId="16" type="noConversion"/>
  </si>
  <si>
    <t>B2D320</t>
    <phoneticPr fontId="11" type="noConversion"/>
  </si>
  <si>
    <t>6월 전도금 사용 내역</t>
    <phoneticPr fontId="16" type="noConversion"/>
  </si>
  <si>
    <t>주재원 개인소득세_5월 환율</t>
    <phoneticPr fontId="11" type="noConversion"/>
  </si>
  <si>
    <t>김명관 책임_시내교통비</t>
    <phoneticPr fontId="16" type="noConversion"/>
  </si>
  <si>
    <t>신순연 책임_여비교통비(T10 출장 숙박 및 항공편)</t>
    <phoneticPr fontId="16" type="noConversion"/>
  </si>
  <si>
    <t>신순연 책임_업무추진비</t>
    <phoneticPr fontId="16" type="noConversion"/>
  </si>
  <si>
    <t>50UD OC 구입 비용</t>
    <phoneticPr fontId="16" type="noConversion"/>
  </si>
  <si>
    <t>수수료</t>
    <phoneticPr fontId="16" type="noConversion"/>
  </si>
  <si>
    <t>6월 구매 한 55 &amp; 65 OC &amp; 75 Backlight 비용 정산</t>
    <phoneticPr fontId="16" type="noConversion"/>
  </si>
  <si>
    <t>651로 인출</t>
    <phoneticPr fontId="11" type="noConversion"/>
  </si>
  <si>
    <t>Pan Shi Qiang책임(업무추진비)</t>
    <phoneticPr fontId="11" type="noConversion"/>
  </si>
  <si>
    <t>Pan Shi Qiang책임(출장비)</t>
    <phoneticPr fontId="11" type="noConversion"/>
  </si>
  <si>
    <t>사무실 운영비(Print &amp; Scan비용)</t>
    <phoneticPr fontId="11" type="noConversion"/>
  </si>
  <si>
    <t>사무실 운영비(청소비)</t>
    <phoneticPr fontId="11" type="noConversion"/>
  </si>
  <si>
    <t>김명관 책임_시내교통비</t>
    <phoneticPr fontId="11" type="noConversion"/>
  </si>
  <si>
    <t>김명관 책임_업무추진비</t>
    <phoneticPr fontId="11" type="noConversion"/>
  </si>
  <si>
    <t>신순연 책임_여비교통비(T10 출장 숙박 및 항공편)</t>
    <phoneticPr fontId="11" type="noConversion"/>
  </si>
  <si>
    <t>신순연 책임_업무추진비</t>
    <phoneticPr fontId="11" type="noConversion"/>
  </si>
  <si>
    <t>50UD OC 구입 비용</t>
    <phoneticPr fontId="11" type="noConversion"/>
  </si>
  <si>
    <t>잔액 본사로 송금</t>
    <phoneticPr fontId="11" type="noConversion"/>
  </si>
  <si>
    <t>/김명관 책임.</t>
    <phoneticPr fontId="16" type="noConversion"/>
  </si>
  <si>
    <t>잡손실</t>
    <phoneticPr fontId="11" type="noConversion"/>
  </si>
  <si>
    <t>사무실</t>
    <phoneticPr fontId="16" type="noConversion"/>
  </si>
  <si>
    <t>미수금</t>
    <phoneticPr fontId="16" type="noConversion"/>
  </si>
  <si>
    <t>D2A410</t>
    <phoneticPr fontId="16" type="noConversion"/>
  </si>
  <si>
    <t>6/10 송금 환율(1,300.5) -&gt; DBG  기존 잔액</t>
    <phoneticPr fontId="16" type="noConversion"/>
  </si>
  <si>
    <t>7/26 송금 환율(1.265.40) -&gt; 8월 처리 예정</t>
    <phoneticPr fontId="16" type="noConversion"/>
  </si>
  <si>
    <t>잔액 본사로 송금 / 입금통장 금액 77,990.58 -&gt; 290</t>
    <phoneticPr fontId="16" type="noConversion"/>
  </si>
  <si>
    <t>잡손실</t>
    <phoneticPr fontId="16" type="noConversion"/>
  </si>
  <si>
    <t>651로 인출 차액 잡손실 처리</t>
    <phoneticPr fontId="11" type="noConversion"/>
  </si>
  <si>
    <t xml:space="preserve">7/26 입금 전도금 차액 USD 0.06 차액 잡손실 처리 </t>
    <phoneticPr fontId="16" type="noConversion"/>
  </si>
  <si>
    <t>USD입금 and RMB 환전</t>
    <phoneticPr fontId="16" type="noConversion"/>
  </si>
  <si>
    <t>Zhang Liang_출장 항공권_숙박비_시내교통비</t>
    <phoneticPr fontId="16" type="noConversion"/>
  </si>
  <si>
    <t>Li Peng_출장 항공권_숙박비_시내교통비</t>
    <phoneticPr fontId="16" type="noConversion"/>
  </si>
  <si>
    <t>김명관_휴가비</t>
    <phoneticPr fontId="16" type="noConversion"/>
  </si>
  <si>
    <t>김명관_업무추진비</t>
    <phoneticPr fontId="16" type="noConversion"/>
  </si>
  <si>
    <t>김명관_자녀교육비</t>
    <phoneticPr fontId="16" type="noConversion"/>
  </si>
  <si>
    <t>신순연 H2 출장 항공권 및 숙박비</t>
    <phoneticPr fontId="16" type="noConversion"/>
  </si>
  <si>
    <t>신순연_휴가비</t>
    <phoneticPr fontId="16" type="noConversion"/>
  </si>
  <si>
    <t>신순연_신규채용2명 NB PC 및 System설치비</t>
    <phoneticPr fontId="16" type="noConversion"/>
  </si>
  <si>
    <t>신순연_사무실 Wifi 비용 및 통신비</t>
    <phoneticPr fontId="16" type="noConversion"/>
  </si>
  <si>
    <t>Coffee Shop</t>
    <phoneticPr fontId="16" type="noConversion"/>
  </si>
  <si>
    <t>USD입금 and RMB 환전</t>
    <phoneticPr fontId="11" type="noConversion"/>
  </si>
  <si>
    <t>Zhang Liang_출장 항공권_숙박비_시내교통비</t>
    <phoneticPr fontId="11" type="noConversion"/>
  </si>
  <si>
    <t>Li Peng_출장 항공권_숙박비_시내교통비</t>
    <phoneticPr fontId="11" type="noConversion"/>
  </si>
  <si>
    <t>김명관_시내교통비</t>
    <phoneticPr fontId="11" type="noConversion"/>
  </si>
  <si>
    <t>김명관_휴가비</t>
    <phoneticPr fontId="11" type="noConversion"/>
  </si>
  <si>
    <t>김명관_업무추진비</t>
    <phoneticPr fontId="11" type="noConversion"/>
  </si>
  <si>
    <t>김명관_자녀교육비</t>
    <phoneticPr fontId="11" type="noConversion"/>
  </si>
  <si>
    <t>신순연 H2 출장 항공권 및 숙박비</t>
    <phoneticPr fontId="11" type="noConversion"/>
  </si>
  <si>
    <t>신순연_휴가비</t>
    <phoneticPr fontId="11" type="noConversion"/>
  </si>
  <si>
    <t>신순연_신규채용2명 NB PC 및 System설치비</t>
    <phoneticPr fontId="11" type="noConversion"/>
  </si>
  <si>
    <t>신순연_시내교통비</t>
    <phoneticPr fontId="11" type="noConversion"/>
  </si>
  <si>
    <t>신순연_업무추진비</t>
    <phoneticPr fontId="11" type="noConversion"/>
  </si>
  <si>
    <t>신순연 책임_시내교통비, 2,937.18로 9원 적게 인출</t>
    <phoneticPr fontId="16" type="noConversion"/>
  </si>
  <si>
    <t xml:space="preserve">6월 구매 한 55 &amp; 65 OC &amp; 75 Backlight 비용 정산(제품기술팀 소모품비 귀속) </t>
    <phoneticPr fontId="16" type="noConversion"/>
  </si>
  <si>
    <t>현채인 5대보험</t>
    <phoneticPr fontId="11" type="noConversion"/>
  </si>
  <si>
    <t>대행 수수료</t>
    <phoneticPr fontId="11" type="noConversion"/>
  </si>
  <si>
    <t>Pan Shi Qiang_출장</t>
    <phoneticPr fontId="11" type="noConversion"/>
  </si>
  <si>
    <t>Pan Shi Qiang_통신비</t>
    <phoneticPr fontId="11" type="noConversion"/>
  </si>
  <si>
    <t>Pan Shi Qiang_택배비</t>
    <phoneticPr fontId="11" type="noConversion"/>
  </si>
  <si>
    <t>Pan Shi Qiang_시내교통비</t>
    <phoneticPr fontId="11" type="noConversion"/>
  </si>
  <si>
    <t>신순연_통신비</t>
    <phoneticPr fontId="11" type="noConversion"/>
  </si>
  <si>
    <t>신순연_사무실 Wifi</t>
    <phoneticPr fontId="11" type="noConversion"/>
  </si>
  <si>
    <t>신순연_출입증 신청 보험 구매</t>
    <phoneticPr fontId="11" type="noConversion"/>
  </si>
  <si>
    <t>신순연_택배비</t>
    <phoneticPr fontId="11" type="noConversion"/>
  </si>
  <si>
    <t>신순연_청소비</t>
    <phoneticPr fontId="11" type="noConversion"/>
  </si>
  <si>
    <t>김명관</t>
    <phoneticPr fontId="16" type="noConversion"/>
  </si>
  <si>
    <t>4번 적게 인출분 추가 인출</t>
    <phoneticPr fontId="16" type="noConversion"/>
  </si>
  <si>
    <t>현채인 일비</t>
    <phoneticPr fontId="11" type="noConversion"/>
  </si>
  <si>
    <t>B2F590 </t>
    <phoneticPr fontId="11" type="noConversion"/>
  </si>
  <si>
    <t>영업본부 심천지사</t>
    <phoneticPr fontId="11" type="noConversion"/>
  </si>
  <si>
    <t>DBGC 전도금 정산금액</t>
  </si>
  <si>
    <t>수수료</t>
  </si>
  <si>
    <t>전도금 정산금액+수수료</t>
  </si>
  <si>
    <t>공급가액</t>
  </si>
  <si>
    <t>세액</t>
  </si>
  <si>
    <t>세금계산서 발행금액</t>
  </si>
  <si>
    <t>7/26 송금 환율(1,265.40) (100048149)</t>
  </si>
  <si>
    <t>8/4 송금 환율(1,280) (100048150)</t>
  </si>
  <si>
    <t>8/10 송금 환율(1,318.3) (100048151)</t>
  </si>
  <si>
    <t>현채인 5대보험(회사부담)</t>
    <phoneticPr fontId="11" type="noConversion"/>
  </si>
  <si>
    <t>현채인 급여</t>
    <phoneticPr fontId="11" type="noConversion"/>
  </si>
  <si>
    <t>주재원 보험</t>
    <phoneticPr fontId="11" type="noConversion"/>
  </si>
  <si>
    <r>
      <rPr>
        <sz val="10"/>
        <rFont val="새굴림"/>
        <family val="3"/>
        <charset val="134"/>
      </rPr>
      <t>张亮</t>
    </r>
    <r>
      <rPr>
        <sz val="10"/>
        <rFont val="Calibri"/>
        <family val="3"/>
      </rPr>
      <t>(Zhang Liang)</t>
    </r>
    <phoneticPr fontId="11" type="noConversion"/>
  </si>
  <si>
    <r>
      <t>李</t>
    </r>
    <r>
      <rPr>
        <sz val="10"/>
        <rFont val="새굴림"/>
        <family val="3"/>
        <charset val="134"/>
      </rPr>
      <t>鹏</t>
    </r>
    <r>
      <rPr>
        <sz val="10"/>
        <rFont val="맑은 고딕"/>
        <family val="3"/>
        <charset val="129"/>
        <scheme val="minor"/>
      </rPr>
      <t xml:space="preserve"> (Li Feng)</t>
    </r>
    <phoneticPr fontId="11" type="noConversion"/>
  </si>
  <si>
    <t>현채인 5대보험</t>
  </si>
  <si>
    <t>현채인수당</t>
  </si>
  <si>
    <t>현채인 대행 수수료</t>
  </si>
  <si>
    <t>현채인 대행 수수료</t>
    <phoneticPr fontId="11" type="noConversion"/>
  </si>
  <si>
    <t>현채인  5대보험</t>
    <phoneticPr fontId="11" type="noConversion"/>
  </si>
  <si>
    <t>현채인대행 수수료</t>
    <phoneticPr fontId="11" type="noConversion"/>
  </si>
  <si>
    <t>은행 이자</t>
    <phoneticPr fontId="11" type="noConversion"/>
  </si>
  <si>
    <t>세무대행사</t>
  </si>
  <si>
    <t>김명관_업무추진비</t>
  </si>
  <si>
    <t>김명관_시내교통비</t>
  </si>
  <si>
    <t>김명관_통신비</t>
  </si>
  <si>
    <t>신순연 한국 출장 항공권 및 숙박비</t>
  </si>
  <si>
    <t>신순연_시내교통비</t>
  </si>
  <si>
    <t>신순연_업무추진비(중에 추석 월병 7438.5RMB 포함)</t>
  </si>
  <si>
    <t>주재원 주재수당</t>
  </si>
  <si>
    <t>주재원 주택수당</t>
    <phoneticPr fontId="12" type="noConversion"/>
  </si>
  <si>
    <t>보험(주재원/현채인)</t>
  </si>
  <si>
    <t>세금(주재원/현채인)</t>
  </si>
  <si>
    <t>대행수수료</t>
    <phoneticPr fontId="12" type="noConversion"/>
  </si>
  <si>
    <t>현채인 월급</t>
    <phoneticPr fontId="12" type="noConversion"/>
  </si>
  <si>
    <t>현채인 월급</t>
  </si>
  <si>
    <t>대행수수료</t>
  </si>
  <si>
    <t>보험비(회사납부)</t>
    <phoneticPr fontId="11" type="noConversion"/>
  </si>
  <si>
    <r>
      <t>张</t>
    </r>
    <r>
      <rPr>
        <sz val="10"/>
        <rFont val="맑은 고딕"/>
        <family val="3"/>
        <charset val="134"/>
      </rPr>
      <t>亮(Zhang Liang)</t>
    </r>
  </si>
  <si>
    <t>林洁婷 임결정</t>
  </si>
  <si>
    <t>Zhang Liang(택배비)</t>
    <phoneticPr fontId="11" type="noConversion"/>
  </si>
  <si>
    <t>Zhang Liang(시내교통비)</t>
    <phoneticPr fontId="11" type="noConversion"/>
  </si>
  <si>
    <t>Pan Shi Qiang_출장_숙박비</t>
    <phoneticPr fontId="11" type="noConversion"/>
  </si>
  <si>
    <t>Pan Shi Qiang_출장_항공권</t>
    <phoneticPr fontId="11" type="noConversion"/>
  </si>
  <si>
    <t>신순연_경쟁사 IC 구입</t>
    <phoneticPr fontId="11" type="noConversion"/>
  </si>
  <si>
    <t>신순연_문서 프린트 및 스캔</t>
    <phoneticPr fontId="11" type="noConversion"/>
  </si>
  <si>
    <t>신순연_다과, 사무비품 구입</t>
    <phoneticPr fontId="11" type="noConversion"/>
  </si>
  <si>
    <t>신순연_명함 제작</t>
    <phoneticPr fontId="11" type="noConversion"/>
  </si>
  <si>
    <t>심천 일 식당</t>
    <phoneticPr fontId="16" type="noConversion"/>
  </si>
  <si>
    <t>편의점</t>
    <phoneticPr fontId="16" type="noConversion"/>
  </si>
  <si>
    <t>추석 월병 구입</t>
    <phoneticPr fontId="16" type="noConversion"/>
  </si>
  <si>
    <t>동종업계 관계 유지 및 정보 파악</t>
    <phoneticPr fontId="16" type="noConversion"/>
  </si>
  <si>
    <t>고객 관계 유지 및 정보 교류</t>
    <phoneticPr fontId="16" type="noConversion"/>
  </si>
  <si>
    <t>고객 관계 유지 및 개선</t>
    <phoneticPr fontId="16" type="noConversion"/>
  </si>
  <si>
    <t>Tcon업체 협업 기회 관련 교류 및 고객관계 유지 및 개선</t>
    <phoneticPr fontId="16" type="noConversion"/>
  </si>
  <si>
    <t>LXS</t>
    <phoneticPr fontId="16" type="noConversion"/>
  </si>
  <si>
    <t>Tony 총감, 권유석 팀장, 이상태 수석, 김명관 책임.</t>
    <phoneticPr fontId="16" type="noConversion"/>
  </si>
  <si>
    <t>강창한 실장, 김명관 책임.</t>
    <phoneticPr fontId="16" type="noConversion"/>
  </si>
  <si>
    <t>/권유석 팀장, 김명관 책임.</t>
    <phoneticPr fontId="16" type="noConversion"/>
  </si>
  <si>
    <t>Tony총감, 김명관 책임.</t>
    <phoneticPr fontId="16" type="noConversion"/>
  </si>
  <si>
    <t>Sam 부장, 이상태 수석, 권유석 팀장, 김명관 책임, 신순연 책임(점심)</t>
    <phoneticPr fontId="16" type="noConversion"/>
  </si>
  <si>
    <t>Huang Lei Jing, 왜 2명, 신순연 책임.</t>
    <phoneticPr fontId="16" type="noConversion"/>
  </si>
  <si>
    <t>Li Peng 상담, Liu Kai Yu Coffee Time</t>
    <phoneticPr fontId="16" type="noConversion"/>
  </si>
  <si>
    <t>ANAX/CSOT</t>
    <phoneticPr fontId="16" type="noConversion"/>
  </si>
  <si>
    <t>ANAX, 권유석 팀장, 김명관 책임, 신순연 책임/Xie Wei Zheng, Tan Wen Hao, 신순연 책임.</t>
    <phoneticPr fontId="16" type="noConversion"/>
  </si>
  <si>
    <t>Liu kai Yu, Chen Yun Dong, 왜 1명, 신순연 책임.</t>
    <phoneticPr fontId="16" type="noConversion"/>
  </si>
  <si>
    <t>Zhao Nian과장, 신순연 책임.</t>
    <phoneticPr fontId="16" type="noConversion"/>
  </si>
  <si>
    <t>CSOT/HKC</t>
    <phoneticPr fontId="16" type="noConversion"/>
  </si>
  <si>
    <t>추석 월병 선물</t>
    <phoneticPr fontId="16" type="noConversion"/>
  </si>
  <si>
    <t>Lecroy Diff Probe 구매 선 입금_8월 환율</t>
    <phoneticPr fontId="11" type="noConversion"/>
  </si>
  <si>
    <t>Lecroy Diff Probe 구매 선 입금_9월 환율</t>
    <phoneticPr fontId="11" type="noConversion"/>
  </si>
  <si>
    <t>차량</t>
    <phoneticPr fontId="11" type="noConversion"/>
  </si>
  <si>
    <t>현채인 보너스</t>
    <phoneticPr fontId="11" type="noConversion"/>
  </si>
  <si>
    <t xml:space="preserve">8/10 송금 환율(1,318.3)_100055345 </t>
    <phoneticPr fontId="11" type="noConversion"/>
  </si>
  <si>
    <t xml:space="preserve">9/10 송금 환율(1,333.4)_100055346 </t>
    <phoneticPr fontId="11" type="noConversion"/>
  </si>
  <si>
    <t>일비 지급액</t>
    <phoneticPr fontId="16" type="noConversion"/>
  </si>
  <si>
    <t>합계</t>
    <phoneticPr fontId="16" type="noConversion"/>
  </si>
  <si>
    <t>사무실 운영 세금</t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</si>
  <si>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_빙부상 항공권 성인 2명 지원</t>
    </r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</si>
  <si>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_업무추진비</t>
    </r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</si>
  <si>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_시내교통비</t>
    </r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</si>
  <si>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_통신비</t>
    </r>
    <phoneticPr fontId="16" type="noConversion"/>
  </si>
  <si>
    <t>신순연_택배비</t>
    <phoneticPr fontId="16" type="noConversion"/>
  </si>
  <si>
    <t>신순연_사무실 운영비</t>
    <phoneticPr fontId="16" type="noConversion"/>
  </si>
  <si>
    <t>주재원 주택수당</t>
  </si>
  <si>
    <t>보험비(회사납부)
公司缴纳部分合计</t>
  </si>
  <si>
    <t>김명관
책임</t>
  </si>
  <si>
    <t>신순연
책임</t>
  </si>
  <si>
    <t>FAE (Pan Shi Qiang)
7/1 입사</t>
  </si>
  <si>
    <t>张亮(Zhang Liang)
8/1 입사</t>
  </si>
  <si>
    <t>林洁婷 임결정
9/18 입사</t>
  </si>
  <si>
    <t>10/7-10/13</t>
    <phoneticPr fontId="16" type="noConversion"/>
  </si>
  <si>
    <t>10/16-10/18</t>
    <phoneticPr fontId="16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</si>
  <si>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항공권</t>
    </r>
    <phoneticPr fontId="16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</si>
  <si>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숙박비</t>
    </r>
    <phoneticPr fontId="16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</si>
  <si>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시내교통비</t>
    </r>
    <phoneticPr fontId="16" type="noConversion"/>
  </si>
  <si>
    <t>Lin Jie Ting_출장 항공권_숙박비</t>
    <phoneticPr fontId="16" type="noConversion"/>
  </si>
  <si>
    <t>Lin Jie Ting_사무실 운영비</t>
    <phoneticPr fontId="16" type="noConversion"/>
  </si>
  <si>
    <t>Lin Jie Ting_업무추진비</t>
    <phoneticPr fontId="16" type="noConversion"/>
  </si>
  <si>
    <t>Lin Jie Ting_시내교통비</t>
    <phoneticPr fontId="16" type="noConversion"/>
  </si>
  <si>
    <t xml:space="preserve">영수증 3972.73 / 2원 덜 인출 </t>
    <phoneticPr fontId="16" type="noConversion"/>
  </si>
  <si>
    <t>고객 관계 유지 및 정보 파악</t>
    <phoneticPr fontId="16" type="noConversion"/>
  </si>
  <si>
    <t>Cui Ning Manager, Lin Jie Ting책임.</t>
    <phoneticPr fontId="16" type="noConversion"/>
  </si>
  <si>
    <t>Su Zhou 한 식당</t>
    <phoneticPr fontId="16" type="noConversion"/>
  </si>
  <si>
    <t>Zhu Cheng Zhi 과장, Lin Jie Ting책임, 김명관 책임.</t>
    <phoneticPr fontId="16" type="noConversion"/>
  </si>
  <si>
    <t>He Fei 중 식당</t>
    <phoneticPr fontId="16" type="noConversion"/>
  </si>
  <si>
    <t>ESWIN</t>
    <phoneticPr fontId="16" type="noConversion"/>
  </si>
  <si>
    <t>Zheng Yu Ting부장, Lin Jie Ting책임, 김명관 책임.</t>
    <phoneticPr fontId="16" type="noConversion"/>
  </si>
  <si>
    <t>Chong Qing 중 식당</t>
    <phoneticPr fontId="16" type="noConversion"/>
  </si>
  <si>
    <t>Wu Dun Huang 부장, Lin Jie Ting책임, 김명관 책임.</t>
    <phoneticPr fontId="16" type="noConversion"/>
  </si>
  <si>
    <t>Su Zhou Coffee Shop</t>
    <phoneticPr fontId="16" type="noConversion"/>
  </si>
  <si>
    <t>조달 미팅 Coffee 구매, Zhu Cheng Zhi 과장 외 2명</t>
    <phoneticPr fontId="16" type="noConversion"/>
  </si>
  <si>
    <t>Su Zhou 중 식당</t>
    <phoneticPr fontId="16" type="noConversion"/>
  </si>
  <si>
    <t>심천지사 신규 채용 인원 환영회</t>
    <phoneticPr fontId="16" type="noConversion"/>
  </si>
  <si>
    <t>Liu Kai Yu, 손선규 팀장, 김대용 책임, 여승진 수석, 신순연 책임.</t>
    <phoneticPr fontId="16" type="noConversion"/>
  </si>
  <si>
    <t>Huang Lei Jing, 신순연 책임, 왜 1명</t>
    <phoneticPr fontId="16" type="noConversion"/>
  </si>
  <si>
    <t>Lan Qing Sheng, 손선규 팀장, 김대용 책임, 여승진 수석, 신순연 책임.</t>
    <phoneticPr fontId="16" type="noConversion"/>
  </si>
  <si>
    <t>Chen Wei Feng, 손선규 팀장, 김대용 책임, 여승진 수석, 신순연 책임.</t>
    <phoneticPr fontId="16" type="noConversion"/>
  </si>
  <si>
    <t>Sam 전문가, 손선규 팀장, 김대용 책임, 여승진 수석, 신순연 책임.</t>
    <phoneticPr fontId="16" type="noConversion"/>
  </si>
  <si>
    <t>Liu Kai Yu, 윤추실 책임, 신순연 책임.</t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</si>
  <si>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_10/16~10/19 출장_9월</t>
    </r>
    <phoneticPr fontId="16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</si>
  <si>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_10/16~10/19 출장_10월</t>
    </r>
    <phoneticPr fontId="16" type="noConversion"/>
  </si>
  <si>
    <t>9/10 송금 환율(1,333.4)</t>
    <phoneticPr fontId="11" type="noConversion"/>
  </si>
  <si>
    <t>10/10 송금 환율(1,348.3)</t>
    <phoneticPr fontId="11" type="noConversion"/>
  </si>
  <si>
    <t>지급수수료</t>
    <phoneticPr fontId="16" type="noConversion"/>
  </si>
  <si>
    <t>현채인 월급</t>
    <phoneticPr fontId="16" type="noConversion"/>
  </si>
  <si>
    <t>현채인 월급 보너스</t>
    <phoneticPr fontId="16" type="noConversion"/>
  </si>
  <si>
    <t>현채인 월급 일비</t>
    <phoneticPr fontId="16" type="noConversion"/>
  </si>
  <si>
    <t>11/10 송금 환율(1,309.00)</t>
    <phoneticPr fontId="11" type="noConversion"/>
  </si>
  <si>
    <t>일비</t>
  </si>
  <si>
    <t>김명관 책임</t>
    <phoneticPr fontId="11" type="noConversion"/>
  </si>
  <si>
    <t>신순연 책임</t>
    <phoneticPr fontId="11" type="noConversion"/>
  </si>
  <si>
    <t>FAE (Pan Shi Qiang)</t>
    <phoneticPr fontId="11" type="noConversion"/>
  </si>
  <si>
    <r>
      <t>张</t>
    </r>
    <r>
      <rPr>
        <sz val="10"/>
        <color theme="1"/>
        <rFont val="맑은 고딕"/>
        <family val="3"/>
        <charset val="129"/>
        <scheme val="minor"/>
      </rPr>
      <t>亮(Zhang Liang)</t>
    </r>
  </si>
  <si>
    <t>김명관 책임_통신비</t>
  </si>
  <si>
    <t>신순연_업무추진비</t>
  </si>
  <si>
    <t>신순연_사무실 Internet비용</t>
  </si>
  <si>
    <t>신순연_청소비_택배비_명함제작_Print/Scan_A4용지등 사무 비품 구입</t>
  </si>
  <si>
    <t>김명관 책임 시내교통비 추가 입금 부분 환불.</t>
  </si>
  <si>
    <t>차량 임대료 추가 입금 부분 환불</t>
  </si>
  <si>
    <t>Liu Ming Liang_주차비</t>
    <phoneticPr fontId="11" type="noConversion"/>
  </si>
  <si>
    <t>Liu Ming Liang_톨비</t>
    <phoneticPr fontId="11" type="noConversion"/>
  </si>
  <si>
    <t>Liu Ming Liang_주유비</t>
    <phoneticPr fontId="11" type="noConversion"/>
  </si>
  <si>
    <t>Chen Guo Liang_주차비</t>
    <phoneticPr fontId="11" type="noConversion"/>
  </si>
  <si>
    <t>Chen Guo Liang_톨비</t>
    <phoneticPr fontId="11" type="noConversion"/>
  </si>
  <si>
    <t>Chen Guo Liang_주유비</t>
    <phoneticPr fontId="11" type="noConversion"/>
  </si>
  <si>
    <t>Zhang Liang_H5 교통비</t>
    <phoneticPr fontId="11" type="noConversion"/>
  </si>
  <si>
    <t>Zhang Liang_톨비</t>
    <phoneticPr fontId="11" type="noConversion"/>
  </si>
  <si>
    <t>Zhang Liang_숙박비</t>
    <phoneticPr fontId="11" type="noConversion"/>
  </si>
  <si>
    <t>Zhang Liang_H1 왕복교통비</t>
    <phoneticPr fontId="11" type="noConversion"/>
  </si>
  <si>
    <t>Zhang Liang_H1 숙박비</t>
    <phoneticPr fontId="11" type="noConversion"/>
  </si>
  <si>
    <t>Zhang Liang_H2 왕복교통비</t>
    <phoneticPr fontId="11" type="noConversion"/>
  </si>
  <si>
    <t>Zhang Liang_H2 숙박비</t>
    <phoneticPr fontId="11" type="noConversion"/>
  </si>
  <si>
    <t>Zhang Liang_택배비</t>
    <phoneticPr fontId="11" type="noConversion"/>
  </si>
  <si>
    <t>Zhang Liang_시내교통비</t>
    <phoneticPr fontId="11" type="noConversion"/>
  </si>
  <si>
    <t>Zhang Liang_출장 교통비</t>
    <phoneticPr fontId="11" type="noConversion"/>
  </si>
  <si>
    <t>Zhang Liang_출장 숙박비</t>
    <phoneticPr fontId="11" type="noConversion"/>
  </si>
  <si>
    <t>Zhang Liang_통신비</t>
    <phoneticPr fontId="11" type="noConversion"/>
  </si>
  <si>
    <t>Lin Jie Ting(임결정)_출장 교통비</t>
    <phoneticPr fontId="11" type="noConversion"/>
  </si>
  <si>
    <t>Lin Jie Ting(임결정)_출장 숙박비</t>
    <phoneticPr fontId="11" type="noConversion"/>
  </si>
  <si>
    <t>Lin Jie Ting(임결정)_시내교통비</t>
    <phoneticPr fontId="11" type="noConversion"/>
  </si>
  <si>
    <t>Lin Jie Ting(임결정)_업무추진비</t>
    <phoneticPr fontId="11" type="noConversion"/>
  </si>
  <si>
    <t>김명관 책임_T10 출장 숙박비</t>
    <phoneticPr fontId="11" type="noConversion"/>
  </si>
  <si>
    <t>김명관 책임_T10 출장 항공권 및 교통비</t>
    <phoneticPr fontId="11" type="noConversion"/>
  </si>
  <si>
    <t>신순연_H2 출장 항공권 및 교통비</t>
    <phoneticPr fontId="11" type="noConversion"/>
  </si>
  <si>
    <t>신순연_H5 출장 항공권 및 교통비</t>
    <phoneticPr fontId="11" type="noConversion"/>
  </si>
  <si>
    <t>신순연_H5 출장 숙박비</t>
    <phoneticPr fontId="11" type="noConversion"/>
  </si>
  <si>
    <t>신순연_H1 출장 항공권</t>
    <phoneticPr fontId="11" type="noConversion"/>
  </si>
  <si>
    <t>신순연_H1 출장 숙박비</t>
    <phoneticPr fontId="11" type="noConversion"/>
  </si>
  <si>
    <t>469 더 많이 인출 (11/26 회수)</t>
    <phoneticPr fontId="11" type="noConversion"/>
  </si>
  <si>
    <t>201.6 추가 인출</t>
    <phoneticPr fontId="11" type="noConversion"/>
  </si>
  <si>
    <t>21.39 더 많이 인출(재입금)</t>
    <phoneticPr fontId="11" type="noConversion"/>
  </si>
  <si>
    <t>Lin Jie Ting(임결정)_업무추진비 추가 인출</t>
    <phoneticPr fontId="11" type="noConversion"/>
  </si>
  <si>
    <t>은행내역</t>
    <phoneticPr fontId="11" type="noConversion"/>
  </si>
  <si>
    <t>신순연_H2 출장  숙박비 11월 환율</t>
    <phoneticPr fontId="11" type="noConversion"/>
  </si>
  <si>
    <t>신순연_H2 출장  숙박비 10월 환율</t>
    <phoneticPr fontId="11" type="noConversion"/>
  </si>
  <si>
    <r>
      <t>liu</t>
    </r>
    <r>
      <rPr>
        <sz val="11"/>
        <color theme="1"/>
        <rFont val="맑은 고딕"/>
        <family val="3"/>
        <charset val="129"/>
        <scheme val="minor"/>
      </rPr>
      <t xml:space="preserve"> ming liang</t>
    </r>
    <phoneticPr fontId="16" type="noConversion"/>
  </si>
  <si>
    <r>
      <t>c</t>
    </r>
    <r>
      <rPr>
        <sz val="11"/>
        <color theme="1"/>
        <rFont val="맑은 고딕"/>
        <family val="3"/>
        <charset val="129"/>
        <scheme val="minor"/>
      </rPr>
      <t>hen guo liang</t>
    </r>
    <phoneticPr fontId="16" type="noConversion"/>
  </si>
  <si>
    <t>임결정</t>
    <phoneticPr fontId="16" type="noConversion"/>
  </si>
  <si>
    <t>coffee Shop</t>
    <phoneticPr fontId="16" type="noConversion"/>
  </si>
  <si>
    <t>Li Xue, Cui Ning, 임결정 책임.</t>
    <phoneticPr fontId="16" type="noConversion"/>
  </si>
  <si>
    <t>Wu Liang Song 부장, Weng Peng 과장, Ma Qiao Yi 과장, 김명관 책임, 임결정 책임.</t>
    <phoneticPr fontId="16" type="noConversion"/>
  </si>
  <si>
    <t>품질팀</t>
    <phoneticPr fontId="16" type="noConversion"/>
  </si>
  <si>
    <t>합비 중 식당</t>
    <phoneticPr fontId="16" type="noConversion"/>
  </si>
  <si>
    <t>Zheng Yu Ting, 권유석 팀장, 김명관 책임, 임결정 책임.</t>
    <phoneticPr fontId="16" type="noConversion"/>
  </si>
  <si>
    <t>구매 미팅</t>
    <phoneticPr fontId="16" type="noConversion"/>
  </si>
  <si>
    <t>Neo 총경리, 김명관 책임.</t>
    <phoneticPr fontId="16" type="noConversion"/>
  </si>
  <si>
    <t>Wu Han 중 식당</t>
    <phoneticPr fontId="16" type="noConversion"/>
  </si>
  <si>
    <t>T10 Wang Zhan Hua 부장, 성재웅 팀장, 김희진 수석, 신순연 책임.</t>
    <phoneticPr fontId="16" type="noConversion"/>
  </si>
  <si>
    <t>CSOT TPV Wuhan 향 CS Zhou Rui 과장, 성재웅 팀장, 김희진 수석, 신순연 책임.</t>
    <phoneticPr fontId="16" type="noConversion"/>
  </si>
  <si>
    <t xml:space="preserve">Lin Shi De과장, 성재웅 팀징, 김산홍 부장, 왕단 책임, 김희진 수석, 신순연 책임. </t>
    <phoneticPr fontId="16" type="noConversion"/>
  </si>
  <si>
    <t>품질 미팅.</t>
    <phoneticPr fontId="16" type="noConversion"/>
  </si>
  <si>
    <t xml:space="preserve"> </t>
    <phoneticPr fontId="11" type="noConversion"/>
  </si>
  <si>
    <t xml:space="preserve"> </t>
    <phoneticPr fontId="19" type="noConversion"/>
  </si>
  <si>
    <t>23년 X월 송금_(#)</t>
    <phoneticPr fontId="19" type="noConversion"/>
  </si>
  <si>
    <t>금액 (CNY)</t>
    <phoneticPr fontId="19" type="noConversion"/>
  </si>
  <si>
    <t>금액 (USD)</t>
    <phoneticPr fontId="19" type="noConversion"/>
  </si>
  <si>
    <t>금액 (KRW)</t>
    <phoneticPr fontId="19" type="noConversion"/>
  </si>
  <si>
    <t>업무추진비</t>
    <phoneticPr fontId="19" type="noConversion"/>
  </si>
  <si>
    <t>여비교통비</t>
    <phoneticPr fontId="19" type="noConversion"/>
  </si>
  <si>
    <t>해외</t>
    <phoneticPr fontId="19" type="noConversion"/>
  </si>
  <si>
    <t>사무실임차료</t>
  </si>
  <si>
    <t>지급임차료</t>
    <phoneticPr fontId="19" type="noConversion"/>
  </si>
  <si>
    <t>급여(incentive)</t>
    <phoneticPr fontId="16" type="noConversion"/>
  </si>
  <si>
    <t>성과급여조정</t>
    <phoneticPr fontId="16" type="noConversion"/>
  </si>
  <si>
    <r>
      <rPr>
        <b/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잡이익</t>
    </r>
    <r>
      <rPr>
        <b/>
        <sz val="9"/>
        <color theme="1"/>
        <rFont val="맑은 고딕"/>
        <family val="3"/>
        <charset val="129"/>
        <scheme val="major"/>
      </rPr>
      <t>(50)</t>
    </r>
    <phoneticPr fontId="16" type="noConversion"/>
  </si>
  <si>
    <t>(-)잡이익</t>
    <phoneticPr fontId="16" type="noConversion"/>
  </si>
  <si>
    <t>담당자</t>
    <phoneticPr fontId="19" type="noConversion"/>
  </si>
  <si>
    <t>항목</t>
    <phoneticPr fontId="16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</si>
  <si>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</si>
  <si>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</si>
  <si>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</si>
  <si>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</si>
  <si>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</si>
  <si>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</si>
  <si>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</si>
  <si>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16" type="noConversion"/>
  </si>
  <si>
    <t>12월 송금</t>
  </si>
  <si>
    <r>
      <t>▶ 24년 01월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</si>
  <si>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24년 X월 송금_(#)</t>
  </si>
  <si>
    <t>25년 X월 송금_(#)</t>
  </si>
  <si>
    <t>26년 X월 송금_(#)</t>
  </si>
  <si>
    <t>27년 X월 송금_(#)</t>
  </si>
  <si>
    <t>28년 X월 송금_(#)</t>
  </si>
  <si>
    <t>29년 X월 송금_(#)</t>
  </si>
  <si>
    <t>30년 X월 송금_(#)</t>
  </si>
  <si>
    <t>31년 X월 송금_(#)</t>
  </si>
  <si>
    <t>32년 X월 송금_(#)</t>
  </si>
  <si>
    <t>33년 X월 송금_(#)</t>
  </si>
  <si>
    <t>23년 12월 송금_1307.90 (#100075874)</t>
    <phoneticPr fontId="19" type="noConversion"/>
  </si>
  <si>
    <t xml:space="preserve">11/10 송금 환율(1,309.00) #100075901 </t>
    <phoneticPr fontId="11" type="noConversion"/>
  </si>
  <si>
    <t xml:space="preserve">12/10 송금 환율(1,307.90) #100075905 </t>
    <phoneticPr fontId="11" type="noConversion"/>
  </si>
  <si>
    <t>합계</t>
    <phoneticPr fontId="11" type="noConversion"/>
  </si>
  <si>
    <t>Lecory Diff Probe 구매 잔액 처리</t>
    <phoneticPr fontId="11" type="noConversion"/>
  </si>
  <si>
    <t>USD입금 and RMB 환전</t>
  </si>
  <si>
    <t>Zhang Liang_출장 항공권_숙박비</t>
  </si>
  <si>
    <t>Zhang Liang_시내/시외 교통비</t>
    <phoneticPr fontId="11" type="noConversion"/>
  </si>
  <si>
    <t>Pan Shi Qiang_통신</t>
    <phoneticPr fontId="11" type="noConversion"/>
  </si>
  <si>
    <t>Pan Shi Qiang_택배</t>
    <phoneticPr fontId="11" type="noConversion"/>
  </si>
  <si>
    <t>Pan Shi Qiang_시내 교통비</t>
    <phoneticPr fontId="11" type="noConversion"/>
  </si>
  <si>
    <t>Lin Jie Ting(임결정)_출장비</t>
    <phoneticPr fontId="11" type="noConversion"/>
  </si>
  <si>
    <t>Lin Jie Ting(임결정)_시내/시외 교통비</t>
    <phoneticPr fontId="11" type="noConversion"/>
  </si>
  <si>
    <t>김명관 책임_출장비</t>
    <phoneticPr fontId="11" type="noConversion"/>
  </si>
  <si>
    <t>김명관 책임_통신비</t>
    <phoneticPr fontId="11" type="noConversion"/>
  </si>
  <si>
    <t>신순연_출장비</t>
    <phoneticPr fontId="11" type="noConversion"/>
  </si>
  <si>
    <t>신순연_사무실 운영비(청소비, 택배비, 사무비품등)</t>
    <phoneticPr fontId="11" type="noConversion"/>
  </si>
  <si>
    <t xml:space="preserve">신순연_사무실 Wifi </t>
    <phoneticPr fontId="11" type="noConversion"/>
  </si>
  <si>
    <t>김명관 교육비</t>
    <phoneticPr fontId="11" type="noConversion"/>
  </si>
  <si>
    <t>김명관 교육비 잘못 송금</t>
    <phoneticPr fontId="11" type="noConversion"/>
  </si>
  <si>
    <t>신순연_택배</t>
    <phoneticPr fontId="11" type="noConversion"/>
  </si>
  <si>
    <t>사무실 운영세금(23년10월~12월 분)</t>
    <phoneticPr fontId="16" type="noConversion"/>
  </si>
  <si>
    <t>사무실 운영세금(23년10월~12월 분)</t>
  </si>
  <si>
    <t>Tektronix Diff Probe 구매 선입금 은행수수료</t>
    <phoneticPr fontId="11" type="noConversion"/>
  </si>
  <si>
    <t>차량 기사비</t>
  </si>
  <si>
    <t>기사 야근비용</t>
  </si>
  <si>
    <t>보너스</t>
  </si>
  <si>
    <t>김명관
책임</t>
    <phoneticPr fontId="12" type="noConversion"/>
  </si>
  <si>
    <t>신순연
책임</t>
    <phoneticPr fontId="12" type="noConversion"/>
  </si>
  <si>
    <t>FAE (Pan Shi Qiang)
7/1 입사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</si>
  <si>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</si>
  <si>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9/18 입사</t>
    </r>
    <phoneticPr fontId="12" type="noConversion"/>
  </si>
  <si>
    <t>Zhang Liang_사무비품</t>
    <phoneticPr fontId="11" type="noConversion"/>
  </si>
  <si>
    <t>Pan Shi Qiang_출장 교통</t>
    <phoneticPr fontId="11" type="noConversion"/>
  </si>
  <si>
    <t>Lin Jie Ting(임결정)_택배</t>
    <phoneticPr fontId="11" type="noConversion"/>
  </si>
  <si>
    <t>영수증 차액 0.6 안받음</t>
    <phoneticPr fontId="11" type="noConversion"/>
  </si>
  <si>
    <t>@1307.90(7.1614)</t>
    <phoneticPr fontId="11" type="noConversion"/>
  </si>
  <si>
    <t>1월 송금</t>
    <phoneticPr fontId="11" type="noConversion"/>
  </si>
  <si>
    <t>@1312.1(7.1453)</t>
    <phoneticPr fontId="11" type="noConversion"/>
  </si>
  <si>
    <t>사무실임차료</t>
    <phoneticPr fontId="11" type="noConversion"/>
  </si>
  <si>
    <t>24년 1월 송금_1312.1 (#)</t>
    <phoneticPr fontId="19" type="noConversion"/>
  </si>
  <si>
    <t>1월</t>
    <phoneticPr fontId="19" type="noConversion"/>
  </si>
  <si>
    <t xml:space="preserve">5,568 반환 / 2월 정산 </t>
    <phoneticPr fontId="11" type="noConversion"/>
  </si>
  <si>
    <t>6,000 반환 / 2월 정산</t>
    <phoneticPr fontId="11" type="noConversion"/>
  </si>
  <si>
    <t>Tektronix Diff Probe 구매 선입금 수수료</t>
    <phoneticPr fontId="11" type="noConversion"/>
  </si>
  <si>
    <t>참석자</t>
  </si>
  <si>
    <t>고객</t>
  </si>
  <si>
    <t>세부내역</t>
    <phoneticPr fontId="19" type="noConversion"/>
  </si>
  <si>
    <t>2월</t>
    <phoneticPr fontId="19" type="noConversion"/>
  </si>
  <si>
    <t>24년 2월 송금_1,327.20 (#)</t>
    <phoneticPr fontId="19" type="noConversion"/>
  </si>
  <si>
    <t>Chen Guo Liang 잘못 송금 시 발생 수수료 -&gt; 반환</t>
    <phoneticPr fontId="11" type="noConversion"/>
  </si>
  <si>
    <t>Lin Jie Ting(임결정)_춘절 선물</t>
    <phoneticPr fontId="11" type="noConversion"/>
  </si>
  <si>
    <t>신순연_춘절 선물</t>
    <phoneticPr fontId="11" type="noConversion"/>
  </si>
  <si>
    <t>2월 송금</t>
  </si>
  <si>
    <t>2월 송금</t>
    <phoneticPr fontId="11" type="noConversion"/>
  </si>
  <si>
    <t>@1312.1(7.1453)</t>
  </si>
  <si>
    <t>@1327.2(7.1808)</t>
  </si>
  <si>
    <t>@1327.2(7.1808)</t>
    <phoneticPr fontId="11" type="noConversion"/>
  </si>
  <si>
    <t>성과급여조정</t>
    <phoneticPr fontId="11" type="noConversion"/>
  </si>
  <si>
    <t>24년 3월 송금_1,323.10 (#)</t>
    <phoneticPr fontId="19" type="noConversion"/>
  </si>
  <si>
    <r>
      <t>▶ 24년 03월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</si>
  <si>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r>
      <t>▶ 24년 02월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</si>
  <si>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인터넷 뱅킹 비용</t>
  </si>
  <si>
    <t>사전 평가 용 OC 구매</t>
  </si>
  <si>
    <t>이전 사무실 Deposite 입금</t>
  </si>
  <si>
    <t>Zhang Liang_업무추진비</t>
    <phoneticPr fontId="11" type="noConversion"/>
  </si>
  <si>
    <t>Pan Shi Qiang_업무추진비</t>
  </si>
  <si>
    <t>Pan Shi Qiang_사무비품</t>
    <phoneticPr fontId="11" type="noConversion"/>
  </si>
  <si>
    <t>Lin Jie Ting_업무추진비</t>
  </si>
  <si>
    <t>Lin Jie Ting_이사비용</t>
  </si>
  <si>
    <t>Lin Jie Ting_사무비품</t>
  </si>
  <si>
    <t>Lin Jie Ting_출장 교통</t>
  </si>
  <si>
    <t>Lin Jie Ting_시내 교통비</t>
  </si>
  <si>
    <t>Pan Shi Qiang_출장비</t>
    <phoneticPr fontId="11" type="noConversion"/>
  </si>
  <si>
    <t>구 사무실 관리비(2월 27일 이전)</t>
  </si>
  <si>
    <t>신규 사무실 보증금</t>
    <phoneticPr fontId="11" type="noConversion"/>
  </si>
  <si>
    <t>신규 사무실 임차료</t>
    <phoneticPr fontId="11" type="noConversion"/>
  </si>
  <si>
    <t>신규 사무실 관리비</t>
    <phoneticPr fontId="11" type="noConversion"/>
  </si>
  <si>
    <t xml:space="preserve">3월8일~3월 15일 관리비 </t>
  </si>
  <si>
    <t>통장내역</t>
    <phoneticPr fontId="16" type="noConversion"/>
  </si>
  <si>
    <t>사무실 의자 비용, 사진비</t>
    <phoneticPr fontId="11" type="noConversion"/>
  </si>
  <si>
    <t>Lin Jie Ting_이전 사무실 관리비</t>
    <phoneticPr fontId="11" type="noConversion"/>
  </si>
  <si>
    <t>김명관 수석_업무추진비</t>
    <phoneticPr fontId="11" type="noConversion"/>
  </si>
  <si>
    <t>김명관 수석_통신비</t>
  </si>
  <si>
    <t>김명관 수석_사무비품</t>
  </si>
  <si>
    <t>김명관 수석_시내교통비</t>
  </si>
  <si>
    <t>김명관 수석_출장비</t>
  </si>
  <si>
    <t>보증금 입금 내역_1,234.5 (#)</t>
    <phoneticPr fontId="19" type="noConversion"/>
  </si>
  <si>
    <r>
      <rPr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보증금</t>
    </r>
    <phoneticPr fontId="11" type="noConversion"/>
  </si>
  <si>
    <t>3월</t>
    <phoneticPr fontId="19" type="noConversion"/>
  </si>
  <si>
    <t xml:space="preserve">영수증 재확인 필요 -&gt; 4 추가 입금 완료 </t>
    <phoneticPr fontId="11" type="noConversion"/>
  </si>
  <si>
    <t>영수증 재확인 필요 -&gt; 4.1 추가 인출 완료</t>
    <phoneticPr fontId="11" type="noConversion"/>
  </si>
  <si>
    <t>김명관 수석 추가 인출 수수료</t>
    <phoneticPr fontId="11" type="noConversion"/>
  </si>
  <si>
    <t>사용자</t>
    <phoneticPr fontId="16" type="noConversion"/>
  </si>
  <si>
    <t>DBGC</t>
    <phoneticPr fontId="16" type="noConversion"/>
  </si>
  <si>
    <t>3월 21일</t>
    <phoneticPr fontId="16" type="noConversion"/>
  </si>
  <si>
    <t>커피</t>
    <phoneticPr fontId="16" type="noConversion"/>
  </si>
  <si>
    <t>CSOT 업무 추진</t>
    <phoneticPr fontId="16" type="noConversion"/>
  </si>
  <si>
    <r>
      <t xml:space="preserve">조달 </t>
    </r>
    <r>
      <rPr>
        <sz val="10"/>
        <color theme="1"/>
        <rFont val="맑은 고딕"/>
        <family val="3"/>
        <charset val="134"/>
        <scheme val="minor"/>
      </rPr>
      <t>温鹏</t>
    </r>
    <phoneticPr fontId="16" type="noConversion"/>
  </si>
  <si>
    <t>김명관 수석，Jessie</t>
    <phoneticPr fontId="16" type="noConversion"/>
  </si>
  <si>
    <t>중식당</t>
    <phoneticPr fontId="16" type="noConversion"/>
  </si>
  <si>
    <r>
      <t xml:space="preserve">구매 </t>
    </r>
    <r>
      <rPr>
        <sz val="10"/>
        <color theme="1"/>
        <rFont val="맑은 고딕"/>
        <family val="3"/>
        <charset val="134"/>
        <scheme val="minor"/>
      </rPr>
      <t>黄晓</t>
    </r>
    <r>
      <rPr>
        <sz val="10"/>
        <color theme="1"/>
        <rFont val="맑은 고딕"/>
        <family val="3"/>
        <charset val="129"/>
        <scheme val="minor"/>
      </rPr>
      <t>航、王哲、李雪</t>
    </r>
    <phoneticPr fontId="16" type="noConversion"/>
  </si>
  <si>
    <t xml:space="preserve"> 이상태 수석, 김명관 수석, 신책임，Jessie</t>
    <phoneticPr fontId="16" type="noConversion"/>
  </si>
  <si>
    <t>한식집</t>
    <phoneticPr fontId="16" type="noConversion"/>
  </si>
  <si>
    <r>
      <t>가발 黎云</t>
    </r>
    <r>
      <rPr>
        <sz val="10"/>
        <color theme="1"/>
        <rFont val="맑은 고딕"/>
        <family val="3"/>
        <charset val="134"/>
        <scheme val="minor"/>
      </rPr>
      <t>涛</t>
    </r>
    <phoneticPr fontId="16" type="noConversion"/>
  </si>
  <si>
    <t xml:space="preserve"> 신책임，Jessie</t>
    <phoneticPr fontId="16" type="noConversion"/>
  </si>
  <si>
    <r>
      <t>가발 王磊、黎云</t>
    </r>
    <r>
      <rPr>
        <sz val="10"/>
        <color theme="1"/>
        <rFont val="맑은 고딕"/>
        <family val="3"/>
        <scheme val="minor"/>
      </rPr>
      <t>涛</t>
    </r>
    <r>
      <rPr>
        <sz val="10"/>
        <color theme="1"/>
        <rFont val="맑은 고딕"/>
        <family val="3"/>
        <charset val="129"/>
        <scheme val="minor"/>
      </rPr>
      <t>、</t>
    </r>
    <r>
      <rPr>
        <sz val="10"/>
        <color theme="1"/>
        <rFont val="맑은 고딕"/>
        <family val="3"/>
        <charset val="134"/>
        <scheme val="minor"/>
      </rPr>
      <t>刘</t>
    </r>
    <r>
      <rPr>
        <sz val="10"/>
        <color theme="1"/>
        <rFont val="맑은 고딕"/>
        <family val="3"/>
        <charset val="129"/>
        <scheme val="minor"/>
      </rPr>
      <t>望、</t>
    </r>
    <r>
      <rPr>
        <sz val="10"/>
        <color theme="1"/>
        <rFont val="맑은 고딕"/>
        <family val="3"/>
        <charset val="134"/>
        <scheme val="minor"/>
      </rPr>
      <t>张</t>
    </r>
    <r>
      <rPr>
        <sz val="10"/>
        <color theme="1"/>
        <rFont val="맑은 고딕"/>
        <family val="3"/>
        <charset val="129"/>
        <scheme val="minor"/>
      </rPr>
      <t>先明、王建</t>
    </r>
    <r>
      <rPr>
        <sz val="10"/>
        <color theme="1"/>
        <rFont val="맑은 고딕"/>
        <family val="3"/>
        <charset val="134"/>
        <scheme val="minor"/>
      </rPr>
      <t>桥</t>
    </r>
    <r>
      <rPr>
        <sz val="10"/>
        <color theme="1"/>
        <rFont val="맑은 고딕"/>
        <family val="3"/>
        <charset val="129"/>
        <scheme val="minor"/>
      </rPr>
      <t>、Sam、Mason</t>
    </r>
    <phoneticPr fontId="16" type="noConversion"/>
  </si>
  <si>
    <t>고재홍 상무,홍형도 수석,신책임,Jessie</t>
    <phoneticPr fontId="16" type="noConversion"/>
  </si>
  <si>
    <t>구매 李雪</t>
    <phoneticPr fontId="16" type="noConversion"/>
  </si>
  <si>
    <t>이상태 수석</t>
    <phoneticPr fontId="16" type="noConversion"/>
  </si>
  <si>
    <t>HKC 업무 추진</t>
    <phoneticPr fontId="16" type="noConversion"/>
  </si>
  <si>
    <r>
      <t xml:space="preserve">구매 </t>
    </r>
    <r>
      <rPr>
        <sz val="10"/>
        <color theme="1"/>
        <rFont val="맑은 고딕"/>
        <family val="3"/>
        <charset val="134"/>
        <scheme val="minor"/>
      </rPr>
      <t>赖</t>
    </r>
    <r>
      <rPr>
        <sz val="10"/>
        <color theme="1"/>
        <rFont val="맑은 고딕"/>
        <family val="3"/>
        <charset val="129"/>
        <scheme val="minor"/>
      </rPr>
      <t>春</t>
    </r>
    <r>
      <rPr>
        <sz val="10"/>
        <color theme="1"/>
        <rFont val="맑은 고딕"/>
        <family val="3"/>
        <charset val="134"/>
        <scheme val="minor"/>
      </rPr>
      <t>艳</t>
    </r>
    <phoneticPr fontId="16" type="noConversion"/>
  </si>
  <si>
    <t>김형호 책임, Jessie</t>
    <phoneticPr fontId="16" type="noConversion"/>
  </si>
  <si>
    <t>VD  정보 파악</t>
    <phoneticPr fontId="16" type="noConversion"/>
  </si>
  <si>
    <t>IPC James</t>
    <phoneticPr fontId="16" type="noConversion"/>
  </si>
  <si>
    <t>Jessie</t>
    <phoneticPr fontId="16" type="noConversion"/>
  </si>
  <si>
    <t>구매 李雪、KA 李香玉</t>
    <phoneticPr fontId="16" type="noConversion"/>
  </si>
  <si>
    <t>권유석 팀장, 김명관 수석, Jessie</t>
    <phoneticPr fontId="16" type="noConversion"/>
  </si>
  <si>
    <t>권유석 팀장, 김명관 수석</t>
    <phoneticPr fontId="16" type="noConversion"/>
  </si>
  <si>
    <t>본가 한국 식당</t>
    <phoneticPr fontId="16" type="noConversion"/>
  </si>
  <si>
    <t>HKC 구매 Etan 총감 석식</t>
    <phoneticPr fontId="16" type="noConversion"/>
  </si>
  <si>
    <t>Ethan 총감</t>
    <phoneticPr fontId="16" type="noConversion"/>
  </si>
  <si>
    <t>김명관수석</t>
    <phoneticPr fontId="16" type="noConversion"/>
  </si>
  <si>
    <t>낙지 마을</t>
    <phoneticPr fontId="16" type="noConversion"/>
  </si>
  <si>
    <t>HKC 개발 구매 Pony 부장 점심</t>
    <phoneticPr fontId="16" type="noConversion"/>
  </si>
  <si>
    <t>Pony 부장</t>
    <phoneticPr fontId="16" type="noConversion"/>
  </si>
  <si>
    <t>권유석수석, 김명관수석</t>
    <phoneticPr fontId="16" type="noConversion"/>
  </si>
  <si>
    <t>살리아 식당</t>
    <phoneticPr fontId="16" type="noConversion"/>
  </si>
  <si>
    <t>CSOT 영업 점심</t>
    <phoneticPr fontId="16" type="noConversion"/>
  </si>
  <si>
    <t>최녕</t>
    <phoneticPr fontId="16" type="noConversion"/>
  </si>
  <si>
    <t>스타벅스</t>
    <phoneticPr fontId="16" type="noConversion"/>
  </si>
  <si>
    <t>CSOT 개발 미팅 커피 구매</t>
    <phoneticPr fontId="16" type="noConversion"/>
  </si>
  <si>
    <t>김성일 총감</t>
    <phoneticPr fontId="16" type="noConversion"/>
  </si>
  <si>
    <t>Pan 책임</t>
    <phoneticPr fontId="16" type="noConversion"/>
  </si>
  <si>
    <t>RDJ 샘플 구하기</t>
    <phoneticPr fontId="16" type="noConversion"/>
  </si>
  <si>
    <t>RDJ</t>
    <phoneticPr fontId="16" type="noConversion"/>
  </si>
  <si>
    <t>朱郁宾</t>
  </si>
  <si>
    <t>Pan책임</t>
    <phoneticPr fontId="16" type="noConversion"/>
  </si>
  <si>
    <t>Zhang선임</t>
    <phoneticPr fontId="16" type="noConversion"/>
  </si>
  <si>
    <t>ESWIN 개발 석식</t>
    <phoneticPr fontId="16" type="noConversion"/>
  </si>
  <si>
    <t>秦陈万里</t>
    <phoneticPr fontId="16" type="noConversion"/>
  </si>
  <si>
    <t>3월 25일</t>
    <phoneticPr fontId="16" type="noConversion"/>
  </si>
  <si>
    <t>2월 23일</t>
    <phoneticPr fontId="16" type="noConversion"/>
  </si>
  <si>
    <t>王哲</t>
    <phoneticPr fontId="16" type="noConversion"/>
  </si>
  <si>
    <t>권유석 팀장, 김명관 수석, Jessie, 신순연 책임.</t>
    <phoneticPr fontId="16" type="noConversion"/>
  </si>
  <si>
    <t>3월 7일</t>
    <phoneticPr fontId="16" type="noConversion"/>
  </si>
  <si>
    <t xml:space="preserve">신순연 </t>
    <phoneticPr fontId="16" type="noConversion"/>
  </si>
  <si>
    <t>ESWIN/BOE 업무 추진</t>
    <phoneticPr fontId="16" type="noConversion"/>
  </si>
  <si>
    <t>ESWIN/BOE</t>
    <phoneticPr fontId="16" type="noConversion"/>
  </si>
  <si>
    <t>Tian Ying Ying, Wang Ke Jia, Qin Chen, BOE B17 품질 과장</t>
    <phoneticPr fontId="16" type="noConversion"/>
  </si>
  <si>
    <t>3월 10일</t>
    <phoneticPr fontId="16" type="noConversion"/>
  </si>
  <si>
    <t>Sam 전문가</t>
    <phoneticPr fontId="16" type="noConversion"/>
  </si>
  <si>
    <t>박정태 상무, 고재홍 상무, 신순연 책임.</t>
    <phoneticPr fontId="16" type="noConversion"/>
  </si>
  <si>
    <t>3월 12일</t>
    <phoneticPr fontId="16" type="noConversion"/>
  </si>
  <si>
    <t>Steve 총감</t>
    <phoneticPr fontId="16" type="noConversion"/>
  </si>
  <si>
    <t>박정태 상무, 고재홍 상무, 신순연 책임</t>
    <phoneticPr fontId="16" type="noConversion"/>
  </si>
  <si>
    <t>일 식당</t>
    <phoneticPr fontId="16" type="noConversion"/>
  </si>
  <si>
    <t>Tony총감, 손성우 부장</t>
    <phoneticPr fontId="16" type="noConversion"/>
  </si>
  <si>
    <t>권유석 팀장, 김명관 수석, 박정태 상무, 고재홍 상무, 신순연 책임.</t>
    <phoneticPr fontId="16" type="noConversion"/>
  </si>
  <si>
    <t>3월 13일</t>
    <phoneticPr fontId="16" type="noConversion"/>
  </si>
  <si>
    <t>3월 14일</t>
    <phoneticPr fontId="16" type="noConversion"/>
  </si>
  <si>
    <t>맥주집</t>
    <phoneticPr fontId="16" type="noConversion"/>
  </si>
  <si>
    <t>Nate 전문가</t>
    <phoneticPr fontId="16" type="noConversion"/>
  </si>
  <si>
    <t>한 식당</t>
    <phoneticPr fontId="16" type="noConversion"/>
  </si>
  <si>
    <t>Mason 전문가</t>
    <phoneticPr fontId="16" type="noConversion"/>
  </si>
  <si>
    <t>24년 2월 송금_1,327.20 (#100013310)</t>
    <phoneticPr fontId="19" type="noConversion"/>
  </si>
  <si>
    <r>
      <t>보증금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입금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내역_1,234.5</t>
    </r>
    <r>
      <rPr>
        <sz val="12"/>
        <color theme="0"/>
        <rFont val="??"/>
        <family val="2"/>
      </rPr>
      <t> </t>
    </r>
    <r>
      <rPr>
        <sz val="12"/>
        <color theme="0"/>
        <rFont val="굴림"/>
        <family val="3"/>
        <charset val="129"/>
      </rPr>
      <t>(#1900000828 / #1200000234 / #100013313)</t>
    </r>
  </si>
  <si>
    <t>사무실 운영 세금</t>
  </si>
  <si>
    <t>1,383CNY 추가 인출 -&gt; 반환 완료</t>
    <phoneticPr fontId="11" type="noConversion"/>
  </si>
  <si>
    <t>Lin Jie Ting_통신비</t>
    <phoneticPr fontId="11" type="noConversion"/>
  </si>
  <si>
    <t>Lin Jie Ting_택배비</t>
    <phoneticPr fontId="11" type="noConversion"/>
  </si>
  <si>
    <t>김명관 수석_교육비</t>
    <phoneticPr fontId="11" type="noConversion"/>
  </si>
  <si>
    <t>사무실 주차비(5월 분)</t>
    <phoneticPr fontId="11" type="noConversion"/>
  </si>
  <si>
    <t>신순연_사무실운영비</t>
    <phoneticPr fontId="11" type="noConversion"/>
  </si>
  <si>
    <t>CSOT 출입증 신청 연장 건 보험 구매</t>
  </si>
  <si>
    <t>사무실 주소 변경 건 사진 촬영</t>
    <phoneticPr fontId="11" type="noConversion"/>
  </si>
  <si>
    <t>신순연_경쟁사 IC구입</t>
    <phoneticPr fontId="11" type="noConversion"/>
  </si>
  <si>
    <t>생수 구입</t>
    <phoneticPr fontId="11" type="noConversion"/>
  </si>
  <si>
    <t>사무실 주차비(4월분)_</t>
    <phoneticPr fontId="11" type="noConversion"/>
  </si>
  <si>
    <r>
      <t>▶ 24년 04월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</si>
  <si>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24년 4월 송금_1,354.4 (#)</t>
    <phoneticPr fontId="19" type="noConversion"/>
  </si>
  <si>
    <t>4월</t>
    <phoneticPr fontId="19" type="noConversion"/>
  </si>
  <si>
    <t>3월 송금</t>
    <phoneticPr fontId="11" type="noConversion"/>
  </si>
  <si>
    <t xml:space="preserve">   </t>
    <phoneticPr fontId="11" type="noConversion"/>
  </si>
  <si>
    <t xml:space="preserve">4월 송금 </t>
  </si>
  <si>
    <t xml:space="preserve">4월 송금 </t>
    <phoneticPr fontId="11" type="noConversion"/>
  </si>
  <si>
    <t>3월 말 인출 내역</t>
    <phoneticPr fontId="11" type="noConversion"/>
  </si>
  <si>
    <t>수정</t>
    <phoneticPr fontId="11" type="noConversion"/>
  </si>
  <si>
    <t>3월 수정 요율</t>
    <phoneticPr fontId="11" type="noConversion"/>
  </si>
  <si>
    <t>CNY</t>
    <phoneticPr fontId="11" type="noConversion"/>
  </si>
  <si>
    <t>USD</t>
    <phoneticPr fontId="11" type="noConversion"/>
  </si>
  <si>
    <t>3월 정산 요율</t>
    <phoneticPr fontId="11" type="noConversion"/>
  </si>
  <si>
    <t>24년 환산요율 조정</t>
    <phoneticPr fontId="11" type="noConversion"/>
  </si>
  <si>
    <t>환율 차액 보정</t>
    <phoneticPr fontId="11" type="noConversion"/>
  </si>
  <si>
    <t xml:space="preserve">송금 환산 요율 차액 보정 </t>
    <phoneticPr fontId="11" type="noConversion"/>
  </si>
  <si>
    <t>현채인 월급 보너스</t>
    <phoneticPr fontId="11" type="noConversion"/>
  </si>
  <si>
    <r>
      <t>▶ 24년 05월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</si>
  <si>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24년 5월 송금_1367.9 (#)</t>
    <phoneticPr fontId="19" type="noConversion"/>
  </si>
  <si>
    <t>인터넷 뱅킹 사용료</t>
  </si>
  <si>
    <t>사무실 주차비</t>
  </si>
  <si>
    <t>임결정</t>
    <phoneticPr fontId="11" type="noConversion"/>
  </si>
  <si>
    <t>포상금</t>
    <phoneticPr fontId="11" type="noConversion"/>
  </si>
  <si>
    <t>포상금</t>
    <phoneticPr fontId="16" type="noConversion"/>
  </si>
  <si>
    <t>5월 송금</t>
    <phoneticPr fontId="11" type="noConversion"/>
  </si>
  <si>
    <t>5월</t>
    <phoneticPr fontId="19" type="noConversion"/>
  </si>
  <si>
    <t>이자 입금</t>
    <phoneticPr fontId="16" type="noConversion"/>
  </si>
  <si>
    <t>23년 심사 보고서 대행비_일부 금액</t>
    <phoneticPr fontId="16" type="noConversion"/>
  </si>
  <si>
    <t>Zhang Liang_출장 항공권_숙박비</t>
    <phoneticPr fontId="11" type="noConversion"/>
  </si>
  <si>
    <t>Pan Shi Qiang_접대비</t>
    <phoneticPr fontId="11" type="noConversion"/>
  </si>
  <si>
    <t>Pan Shi Qiang_시내/시외교통비</t>
    <phoneticPr fontId="11" type="noConversion"/>
  </si>
  <si>
    <t>김명관 수석_통신비</t>
    <phoneticPr fontId="11" type="noConversion"/>
  </si>
  <si>
    <t>김명관 수석_비자비용</t>
    <phoneticPr fontId="11" type="noConversion"/>
  </si>
  <si>
    <t>김명관 수석_출장/항공 숙박비</t>
    <phoneticPr fontId="11" type="noConversion"/>
  </si>
  <si>
    <t>신순연 책임_사무실 Wifi</t>
    <phoneticPr fontId="11" type="noConversion"/>
  </si>
  <si>
    <t>신순연 책임_택배비</t>
    <phoneticPr fontId="11" type="noConversion"/>
  </si>
  <si>
    <t>신순연 책임_출장비</t>
    <phoneticPr fontId="11" type="noConversion"/>
  </si>
  <si>
    <t>Lin Jie Ting_업무추진비</t>
    <phoneticPr fontId="11" type="noConversion"/>
  </si>
  <si>
    <t>Lin Jie Ting_시내/시외 교통비</t>
    <phoneticPr fontId="11" type="noConversion"/>
  </si>
  <si>
    <t>Lin Jie Ting_숙박비</t>
    <phoneticPr fontId="11" type="noConversion"/>
  </si>
  <si>
    <t xml:space="preserve">세무대행사로 급여 잘못 송금 / 당일 다시 입금 </t>
    <phoneticPr fontId="11" type="noConversion"/>
  </si>
  <si>
    <t>Pan Shi Qiang_출장 숙박비</t>
    <phoneticPr fontId="11" type="noConversion"/>
  </si>
  <si>
    <t>23년 심사 보고서 대행비_잔액 지불</t>
    <phoneticPr fontId="11" type="noConversion"/>
  </si>
  <si>
    <t>6월</t>
    <phoneticPr fontId="19" type="noConversion"/>
  </si>
  <si>
    <t>6월 송금</t>
    <phoneticPr fontId="11" type="noConversion"/>
  </si>
  <si>
    <t>기타(이자 입금)</t>
    <phoneticPr fontId="11" type="noConversion"/>
  </si>
  <si>
    <r>
      <t>▶ 24년 06월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</si>
  <si>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24년 6월 송금_1,366.90 (#100034330)</t>
    <phoneticPr fontId="19" type="noConversion"/>
  </si>
  <si>
    <t>24년 5월 송금_1367.9 (#100034329)</t>
    <phoneticPr fontId="19" type="noConversion"/>
  </si>
  <si>
    <t>24년 6월 송금_1,366.90 (#)</t>
    <phoneticPr fontId="19" type="noConversion"/>
  </si>
  <si>
    <t>24년 7월 송금_1383.4 (#)</t>
    <phoneticPr fontId="19" type="noConversion"/>
  </si>
  <si>
    <r>
      <rPr>
        <sz val="9"/>
        <color theme="1"/>
        <rFont val="맑은 고딕"/>
        <family val="3"/>
        <charset val="129"/>
        <scheme val="minor"/>
      </rPr>
      <t>사무실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세금</t>
    </r>
    <r>
      <rPr>
        <sz val="9"/>
        <color theme="1"/>
        <rFont val="맑은 고딕"/>
        <family val="3"/>
        <charset val="134"/>
        <scheme val="minor"/>
      </rPr>
      <t>(Q2)</t>
    </r>
    <phoneticPr fontId="16" type="noConversion"/>
  </si>
  <si>
    <r>
      <rPr>
        <sz val="9"/>
        <color theme="1"/>
        <rFont val="맑은 고딕"/>
        <family val="1"/>
        <charset val="129"/>
        <scheme val="minor"/>
      </rPr>
      <t>사무실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1"/>
        <charset val="129"/>
        <scheme val="minor"/>
      </rPr>
      <t>주차비</t>
    </r>
  </si>
  <si>
    <t>보너스</t>
    <phoneticPr fontId="12" type="noConversion"/>
  </si>
  <si>
    <r>
      <t>보험비(회사납부)
公司</t>
    </r>
    <r>
      <rPr>
        <sz val="10"/>
        <color indexed="8"/>
        <rFont val="새굴림"/>
        <family val="1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새굴림"/>
        <family val="1"/>
        <charset val="129"/>
      </rPr>
      <t>计</t>
    </r>
    <phoneticPr fontId="12" type="noConversion"/>
  </si>
  <si>
    <t>일비</t>
    <phoneticPr fontId="12" type="noConversion"/>
  </si>
  <si>
    <r>
      <t>보험비(회사납부)
公司</t>
    </r>
    <r>
      <rPr>
        <sz val="10"/>
        <color indexed="8"/>
        <rFont val="맑은 고딕"/>
        <family val="3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맑은 고딕"/>
        <family val="3"/>
        <charset val="129"/>
      </rPr>
      <t>计</t>
    </r>
    <phoneticPr fontId="12" type="noConversion"/>
  </si>
  <si>
    <t>김명관
수석</t>
  </si>
  <si>
    <t>张亮(Zhang Liang)
23/8/1 입사</t>
  </si>
  <si>
    <t>林洁婷 임결정
23/9/18 입사</t>
  </si>
  <si>
    <t>Zhang Liang_접대비</t>
    <phoneticPr fontId="11" type="noConversion"/>
  </si>
  <si>
    <t>Zhang Liang_시내/시외교통비</t>
    <phoneticPr fontId="11" type="noConversion"/>
  </si>
  <si>
    <t>Lin Jie Ting_시내/시외교통비</t>
    <phoneticPr fontId="11" type="noConversion"/>
  </si>
  <si>
    <t>김명관 수석_출장비</t>
    <phoneticPr fontId="11" type="noConversion"/>
  </si>
  <si>
    <t>김명관 수석_시내/시외교통비</t>
    <phoneticPr fontId="11" type="noConversion"/>
  </si>
  <si>
    <t>신순연_사무실 WIFI</t>
    <phoneticPr fontId="11" type="noConversion"/>
  </si>
  <si>
    <t>7월 송금</t>
    <phoneticPr fontId="11" type="noConversion"/>
  </si>
  <si>
    <t>#</t>
    <phoneticPr fontId="11" type="noConversion"/>
  </si>
  <si>
    <t>7월</t>
    <phoneticPr fontId="19" type="noConversion"/>
  </si>
  <si>
    <r>
      <t>▶ 24년 07월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</si>
  <si>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출장 일비 지급액</t>
    <phoneticPr fontId="19" type="noConversion"/>
  </si>
  <si>
    <t>24년 8월 송금_1369.40 (#)</t>
    <phoneticPr fontId="19" type="noConversion"/>
  </si>
  <si>
    <t>사무실 임대료/보증금 관련</t>
    <phoneticPr fontId="16" type="noConversion"/>
  </si>
  <si>
    <t>Pan Shi Qiang_시내/시외 교통비</t>
    <phoneticPr fontId="11" type="noConversion"/>
  </si>
  <si>
    <t>신순연_사무실 WIFI+통신비</t>
    <phoneticPr fontId="11" type="noConversion"/>
  </si>
  <si>
    <t>신순연_시내/시외 교통비</t>
    <phoneticPr fontId="11" type="noConversion"/>
  </si>
  <si>
    <t>김명관_학자금 비용</t>
    <phoneticPr fontId="11" type="noConversion"/>
  </si>
  <si>
    <t>김명관_통신비</t>
    <phoneticPr fontId="11" type="noConversion"/>
  </si>
  <si>
    <t>김명관_출장비</t>
    <phoneticPr fontId="11" type="noConversion"/>
  </si>
  <si>
    <t>2 적게 인출, 추가 인출 없음</t>
  </si>
  <si>
    <r>
      <t>▶ 24년 08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</si>
  <si>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8월 송금</t>
  </si>
  <si>
    <t>8월 송금</t>
    <phoneticPr fontId="11" type="noConversion"/>
  </si>
  <si>
    <t>24년 9월 송금_1339.50 (#)</t>
    <phoneticPr fontId="19" type="noConversion"/>
  </si>
  <si>
    <t>사무실 임대료/보증금 관련</t>
  </si>
  <si>
    <t>Zhang Liang_사무용품비</t>
    <phoneticPr fontId="11" type="noConversion"/>
  </si>
  <si>
    <t>Pan Shi Qiang_사무용품비</t>
    <phoneticPr fontId="11" type="noConversion"/>
  </si>
  <si>
    <t>신순연_업무추진비(추석)</t>
    <phoneticPr fontId="11" type="noConversion"/>
  </si>
  <si>
    <t>김명관_시내/시외교통비</t>
    <phoneticPr fontId="11" type="noConversion"/>
  </si>
  <si>
    <t>Lin Jie Ting_출장비</t>
    <phoneticPr fontId="11" type="noConversion"/>
  </si>
  <si>
    <t>9월 송금</t>
    <phoneticPr fontId="11" type="noConversion"/>
  </si>
  <si>
    <t>Lin Jie Ting_사무용품</t>
    <phoneticPr fontId="11" type="noConversion"/>
  </si>
  <si>
    <t>은행 이자</t>
    <phoneticPr fontId="16" type="noConversion"/>
  </si>
  <si>
    <r>
      <t>보험비(회사납부)
公司</t>
    </r>
    <r>
      <rPr>
        <sz val="9"/>
        <color theme="1"/>
        <rFont val="맑은 고딕"/>
        <family val="2"/>
        <scheme val="major"/>
      </rPr>
      <t>缴纳</t>
    </r>
    <r>
      <rPr>
        <sz val="9"/>
        <color theme="1"/>
        <rFont val="맑은 고딕"/>
        <family val="3"/>
        <charset val="129"/>
        <scheme val="major"/>
      </rPr>
      <t>部分合</t>
    </r>
    <r>
      <rPr>
        <sz val="9"/>
        <color theme="1"/>
        <rFont val="맑은 고딕"/>
        <family val="2"/>
        <scheme val="major"/>
      </rPr>
      <t>计</t>
    </r>
  </si>
  <si>
    <t>해외지사비</t>
    <phoneticPr fontId="19" type="noConversion"/>
  </si>
  <si>
    <t>잡이익</t>
    <phoneticPr fontId="19" type="noConversion"/>
  </si>
  <si>
    <t>일반</t>
    <phoneticPr fontId="19" type="noConversion"/>
  </si>
  <si>
    <t>통신비</t>
    <phoneticPr fontId="19" type="noConversion"/>
  </si>
  <si>
    <t>기타</t>
    <phoneticPr fontId="19" type="noConversion"/>
  </si>
  <si>
    <t>8월</t>
    <phoneticPr fontId="19" type="noConversion"/>
  </si>
  <si>
    <t>9월</t>
    <phoneticPr fontId="19" type="noConversion"/>
  </si>
  <si>
    <t>9월 송금</t>
  </si>
  <si>
    <r>
      <rPr>
        <sz val="9"/>
        <color theme="1"/>
        <rFont val="微软雅黑"/>
        <family val="2"/>
        <charset val="134"/>
      </rPr>
      <t>3</t>
    </r>
    <r>
      <rPr>
        <sz val="9"/>
        <color theme="1"/>
        <rFont val="Malgun Gothic"/>
        <family val="2"/>
        <charset val="129"/>
      </rPr>
      <t>분기 세금 비용</t>
    </r>
    <phoneticPr fontId="16" type="noConversion"/>
  </si>
  <si>
    <t>6T8940 75" 사전평가용 Panel 비용(3매)</t>
    <phoneticPr fontId="16" type="noConversion"/>
  </si>
  <si>
    <t>사무실 임대료/전기세 관련</t>
    <phoneticPr fontId="16" type="noConversion"/>
  </si>
  <si>
    <t>24년 10월 송금_1347.8 (#)</t>
    <phoneticPr fontId="19" type="noConversion"/>
  </si>
  <si>
    <t>Zhang Liang_사무용품</t>
    <phoneticPr fontId="11" type="noConversion"/>
  </si>
  <si>
    <t>Pan Shi Qiang_업무 추진비</t>
    <phoneticPr fontId="11" type="noConversion"/>
  </si>
  <si>
    <t>신순연_사무실 운영비</t>
    <phoneticPr fontId="11" type="noConversion"/>
  </si>
  <si>
    <t>10월 송금</t>
  </si>
  <si>
    <t>10월 송금</t>
    <phoneticPr fontId="11" type="noConversion"/>
  </si>
  <si>
    <t>10월</t>
    <phoneticPr fontId="19" type="noConversion"/>
  </si>
  <si>
    <t>24년 11월 송금_1,385.40 (#)</t>
    <phoneticPr fontId="19" type="noConversion"/>
  </si>
  <si>
    <t>Liu Ming Liang_톨비</t>
  </si>
  <si>
    <t>Liu Ming Liang_주유비</t>
  </si>
  <si>
    <t>Du Wei Qing_주차비</t>
    <phoneticPr fontId="11" type="noConversion"/>
  </si>
  <si>
    <t>Du Wei Qing_주유비</t>
    <phoneticPr fontId="11" type="noConversion"/>
  </si>
  <si>
    <t>Du Wei Qing_톨비</t>
    <phoneticPr fontId="11" type="noConversion"/>
  </si>
  <si>
    <t>11월 송금</t>
  </si>
  <si>
    <t>11월 송금</t>
    <phoneticPr fontId="11" type="noConversion"/>
  </si>
  <si>
    <t>11월</t>
    <phoneticPr fontId="19" type="noConversion"/>
  </si>
  <si>
    <r>
      <t>▶ 24년 11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</si>
  <si>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영수증 불일치: 45 RMB 재입금</t>
    <phoneticPr fontId="11" type="noConversion"/>
  </si>
  <si>
    <t>영수증 불일치: 0.45 RMB 재입금</t>
    <phoneticPr fontId="11" type="noConversion"/>
  </si>
  <si>
    <r>
      <t>▶ 24년 12월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</si>
  <si>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Zhang Liang_시내 교통비</t>
    <phoneticPr fontId="11" type="noConversion"/>
  </si>
  <si>
    <t>Zhang Liang_운송비</t>
    <phoneticPr fontId="11" type="noConversion"/>
  </si>
  <si>
    <t>Zhang Liang_출장비</t>
    <phoneticPr fontId="11" type="noConversion"/>
  </si>
  <si>
    <t>Zhang Liang_사무용픔</t>
    <phoneticPr fontId="11" type="noConversion"/>
  </si>
  <si>
    <t>Zhang Liang_한국 비자 비용</t>
    <phoneticPr fontId="11" type="noConversion"/>
  </si>
  <si>
    <t>Pan Shi Qiang_한국 비자 비용</t>
    <phoneticPr fontId="11" type="noConversion"/>
  </si>
  <si>
    <t>김명관_주재원 학자금</t>
    <phoneticPr fontId="11" type="noConversion"/>
  </si>
  <si>
    <t>Du Wei Qing_수수료</t>
    <phoneticPr fontId="11" type="noConversion"/>
  </si>
  <si>
    <t>Liu Ming Liang_수수료</t>
    <phoneticPr fontId="11" type="noConversion"/>
  </si>
  <si>
    <r>
      <rPr>
        <sz val="9"/>
        <color theme="1"/>
        <rFont val="새굴림"/>
        <family val="3"/>
        <charset val="134"/>
      </rPr>
      <t>张亮</t>
    </r>
    <r>
      <rPr>
        <sz val="9"/>
        <color theme="1"/>
        <rFont val="Calibri"/>
        <family val="3"/>
      </rPr>
      <t>(Zhang Liang)</t>
    </r>
    <phoneticPr fontId="11" type="noConversion"/>
  </si>
  <si>
    <r>
      <t>林</t>
    </r>
    <r>
      <rPr>
        <sz val="9"/>
        <color theme="1"/>
        <rFont val="새굴림"/>
        <family val="3"/>
        <charset val="134"/>
      </rPr>
      <t>洁婷</t>
    </r>
    <r>
      <rPr>
        <sz val="9"/>
        <color theme="1"/>
        <rFont val="맑은 고딕"/>
        <family val="3"/>
        <charset val="129"/>
        <scheme val="major"/>
      </rPr>
      <t xml:space="preserve"> 임결정</t>
    </r>
    <phoneticPr fontId="11" type="noConversion"/>
  </si>
  <si>
    <t>12월 송금</t>
    <phoneticPr fontId="11" type="noConversion"/>
  </si>
  <si>
    <t>12월</t>
    <phoneticPr fontId="19" type="noConversion"/>
  </si>
  <si>
    <t>24년 12월 송금_1,433.2(#)</t>
    <phoneticPr fontId="19" type="noConversion"/>
  </si>
  <si>
    <t>사무실</t>
  </si>
  <si>
    <t>시내</t>
  </si>
  <si>
    <t>사무용픔</t>
  </si>
  <si>
    <t>시내/시외</t>
  </si>
  <si>
    <t>사무실 WIFI+통신비</t>
    <phoneticPr fontId="11" type="noConversion"/>
  </si>
  <si>
    <t>Pan Shi Qiang</t>
    <phoneticPr fontId="11" type="noConversion"/>
  </si>
  <si>
    <t>Zhang Liang</t>
    <phoneticPr fontId="11" type="noConversion"/>
  </si>
  <si>
    <t>Lin Jie Ting</t>
    <phoneticPr fontId="11" type="noConversion"/>
  </si>
  <si>
    <t>Chen Guo Liang</t>
    <phoneticPr fontId="11" type="noConversion"/>
  </si>
  <si>
    <t>Liu Ming Liang</t>
    <phoneticPr fontId="11" type="noConversion"/>
  </si>
  <si>
    <t>Piao Mei Ling</t>
    <phoneticPr fontId="11" type="noConversion"/>
  </si>
  <si>
    <t>Lin Jie Ting / pc. 모니터</t>
    <phoneticPr fontId="11" type="noConversion"/>
  </si>
  <si>
    <t>朴美玲 박미령</t>
  </si>
  <si>
    <t>25년 1월 송금_1458.2(#)</t>
    <phoneticPr fontId="19" type="noConversion"/>
  </si>
  <si>
    <t>보증금 입금 내역_1,234.5 (#1900000828 / #1200000234 / #100013313)</t>
  </si>
  <si>
    <t>4분기 세금 비용</t>
    <phoneticPr fontId="16" type="noConversion"/>
  </si>
  <si>
    <t>DB HITEK조회확인서 수수료</t>
    <phoneticPr fontId="16" type="noConversion"/>
  </si>
  <si>
    <r>
      <rPr>
        <sz val="9"/>
        <color theme="1"/>
        <rFont val="맑은 고딕"/>
        <family val="3"/>
        <charset val="134"/>
        <scheme val="major"/>
      </rPr>
      <t>张</t>
    </r>
    <r>
      <rPr>
        <sz val="9"/>
        <color theme="1"/>
        <rFont val="맑은 고딕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</si>
  <si>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</si>
  <si>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</si>
  <si>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</si>
  <si>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</si>
  <si>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</si>
  <si>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</si>
  <si>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</si>
  <si>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</si>
  <si>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11" type="noConversion"/>
  </si>
  <si>
    <t>전문법율서비스</t>
    <phoneticPr fontId="11" type="noConversion"/>
  </si>
  <si>
    <t>25년 1월 2차 송금_1,434.30 (#)</t>
    <phoneticPr fontId="19" type="noConversion"/>
  </si>
  <si>
    <t>급여</t>
    <phoneticPr fontId="11" type="noConversion"/>
  </si>
  <si>
    <t>신순연_사무실 wfi, 통신비</t>
    <phoneticPr fontId="16" type="noConversion"/>
  </si>
  <si>
    <t>Lin Jie Ting_사무용품비</t>
    <phoneticPr fontId="11" type="noConversion"/>
  </si>
  <si>
    <t>Piao Mei Ling_업무추진비</t>
    <phoneticPr fontId="11" type="noConversion"/>
  </si>
  <si>
    <t>Piao Mei Ling_통신비</t>
    <phoneticPr fontId="11" type="noConversion"/>
  </si>
  <si>
    <t>Piao Mei Ling_출장비</t>
    <phoneticPr fontId="11" type="noConversion"/>
  </si>
  <si>
    <t>Piao Mei Ling_시내교통비</t>
    <phoneticPr fontId="11" type="noConversion"/>
  </si>
  <si>
    <t>Piao Mei Ling_사무실운영비</t>
    <phoneticPr fontId="11" type="noConversion"/>
  </si>
  <si>
    <t>25년 2월 송금_1447.40 (#)</t>
    <phoneticPr fontId="19" type="noConversion"/>
  </si>
  <si>
    <r>
      <t>▶ 25년 2월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</si>
  <si>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25년 3월 송금_1,446.30 (#)</t>
    <phoneticPr fontId="19" type="noConversion"/>
  </si>
  <si>
    <t>학자금</t>
  </si>
  <si>
    <t>세차비</t>
  </si>
  <si>
    <t>신순연</t>
  </si>
  <si>
    <t>박미령</t>
    <phoneticPr fontId="11" type="noConversion"/>
  </si>
  <si>
    <t>시내/시외교통비</t>
    <phoneticPr fontId="11" type="noConversion"/>
  </si>
  <si>
    <r>
      <t>▶ 25년 3월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</si>
  <si>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r>
      <t>▶ 25년 4월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</si>
  <si>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25년 4월 송금_1,482.90 (#)</t>
    <phoneticPr fontId="19" type="noConversion"/>
  </si>
  <si>
    <t>1분기 기업 소득세</t>
    <phoneticPr fontId="16" type="noConversion"/>
  </si>
  <si>
    <t>Pan Shi Qiang</t>
    <phoneticPr fontId="16" type="noConversion"/>
  </si>
  <si>
    <t>Zhang Liang</t>
    <phoneticPr fontId="16" type="noConversion"/>
  </si>
  <si>
    <t>Lin Jie Ting</t>
  </si>
  <si>
    <t>Piao Mei Ling</t>
  </si>
  <si>
    <t>Chen Guo Liang_주유비_주차비_톨비</t>
    <phoneticPr fontId="11" type="noConversion"/>
  </si>
  <si>
    <t>Liu Ming Liang_주유비_주차비_톨비</t>
  </si>
  <si>
    <t>FAE (Pan Shi Qiang)
7/1 입사
潘世强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</si>
  <si>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</si>
  <si>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12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</si>
  <si>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12" type="noConversion"/>
  </si>
  <si>
    <t>김명관 프로</t>
    <phoneticPr fontId="12" type="noConversion"/>
  </si>
  <si>
    <t>신순연 프로</t>
    <phoneticPr fontId="12" type="noConversion"/>
  </si>
  <si>
    <t>4월 송금</t>
    <phoneticPr fontId="11" type="noConversion"/>
  </si>
  <si>
    <r>
      <t>▶ 25년 5월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2" type="noConversion"/>
  </si>
  <si>
    <t>사무실 임대료/전기세 관련</t>
  </si>
  <si>
    <t>사무실 운영비(신한은행 이체 프로그램 비용)</t>
    <phoneticPr fontId="16" type="noConversion"/>
  </si>
  <si>
    <t>새차 6월 주차비</t>
    <phoneticPr fontId="16" type="noConversion"/>
  </si>
  <si>
    <t>추진비</t>
  </si>
  <si>
    <t>시내 교통비</t>
    <phoneticPr fontId="11" type="noConversion"/>
  </si>
  <si>
    <t>시내/시외 교통비</t>
    <phoneticPr fontId="11" type="noConversion"/>
  </si>
  <si>
    <t>사무실 운영비(24년 회계심사비)</t>
    <phoneticPr fontId="11" type="noConversion"/>
  </si>
  <si>
    <t>김명관</t>
  </si>
  <si>
    <t>24년 회계심사비</t>
    <phoneticPr fontId="16" type="noConversion"/>
  </si>
  <si>
    <t>신한은행 이체 프로그램 비용</t>
    <phoneticPr fontId="16" type="noConversion"/>
  </si>
  <si>
    <t>김명관
수석</t>
    <phoneticPr fontId="12" type="noConversion"/>
  </si>
  <si>
    <t>25년 5월 송금_1405.60 (#)</t>
    <phoneticPr fontId="19" type="noConversion"/>
  </si>
  <si>
    <t>Chen Feng Ju</t>
    <phoneticPr fontId="11" type="noConversion"/>
  </si>
  <si>
    <t>사무실 WIFI+통신비</t>
  </si>
  <si>
    <t>급여</t>
    <phoneticPr fontId="16" type="noConversion"/>
  </si>
  <si>
    <t>권유석</t>
    <phoneticPr fontId="11" type="noConversion"/>
  </si>
  <si>
    <t>7、</t>
    <phoneticPr fontId="11" type="noConversion"/>
  </si>
  <si>
    <t>Lin Wei Jian</t>
    <phoneticPr fontId="11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</si>
  <si>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16" type="noConversion"/>
  </si>
  <si>
    <t>은행수수료</t>
    <phoneticPr fontId="11" type="noConversion"/>
  </si>
  <si>
    <t>차량 기사비</t>
    <phoneticPr fontId="11" type="noConversion"/>
  </si>
  <si>
    <t>HKC</t>
  </si>
  <si>
    <t>CSOT</t>
  </si>
  <si>
    <r>
      <t>25년 1</t>
    </r>
    <r>
      <rPr>
        <b/>
        <sz val="9"/>
        <color rgb="FF0070C0"/>
        <rFont val="Malgun Gothic"/>
        <family val="2"/>
        <charset val="129"/>
      </rPr>
      <t>2</t>
    </r>
    <r>
      <rPr>
        <b/>
        <sz val="9"/>
        <color rgb="FF0070C0"/>
        <rFont val="Malgun Gothic Semilight"/>
        <family val="2"/>
        <charset val="134"/>
      </rPr>
      <t>월 송금_1405.60 (#)</t>
    </r>
    <phoneticPr fontId="19" type="noConversion"/>
  </si>
  <si>
    <r>
      <t>2</t>
    </r>
    <r>
      <rPr>
        <b/>
        <sz val="9"/>
        <color rgb="FF0070C0"/>
        <rFont val="Malgun Gothic"/>
        <family val="2"/>
        <charset val="129"/>
      </rPr>
      <t>6</t>
    </r>
    <r>
      <rPr>
        <b/>
        <sz val="9"/>
        <color rgb="FF0070C0"/>
        <rFont val="Malgun Gothic Semilight"/>
        <family val="2"/>
        <charset val="134"/>
      </rPr>
      <t>년 1월 송금_1358.90 (#)</t>
    </r>
    <phoneticPr fontId="19" type="noConversion"/>
  </si>
  <si>
    <t>기타</t>
  </si>
  <si>
    <t>Liu Ming Liang</t>
    <phoneticPr fontId="119" type="noConversion"/>
  </si>
  <si>
    <t>chen feng jun</t>
    <phoneticPr fontId="16" type="noConversion"/>
  </si>
  <si>
    <t>chen guo liang</t>
    <phoneticPr fontId="16" type="noConversion"/>
  </si>
  <si>
    <t>택배비</t>
    <phoneticPr fontId="11" type="noConversion"/>
  </si>
  <si>
    <t>Xiong Feng</t>
    <phoneticPr fontId="11" type="noConversion"/>
  </si>
  <si>
    <t xml:space="preserve">사무실 임대비 </t>
    <phoneticPr fontId="11" type="noConversion"/>
  </si>
  <si>
    <t>-</t>
  </si>
  <si>
    <t>zhangliang</t>
  </si>
  <si>
    <t>HKC업무 추진</t>
  </si>
  <si>
    <t>SDPC</t>
  </si>
  <si>
    <t>xiongfeng</t>
  </si>
  <si>
    <t>星巴克</t>
  </si>
  <si>
    <t>Coffee with CSOT</t>
  </si>
  <si>
    <t>xiongfeng/金总</t>
  </si>
  <si>
    <t>爱人餐饮</t>
  </si>
  <si>
    <t>Lunch with CSOT</t>
  </si>
  <si>
    <t>PIAO MEILING</t>
  </si>
  <si>
    <t>同盛餐饮</t>
  </si>
  <si>
    <t>박미령</t>
  </si>
  <si>
    <t>CSOT 업무 추진</t>
  </si>
  <si>
    <t>사무실 서비스 비용</t>
  </si>
  <si>
    <t>세무 대행비</t>
    <phoneticPr fontId="11" type="noConversion"/>
  </si>
  <si>
    <r>
      <t>▶ 26년 5월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12" type="noConversion"/>
  </si>
  <si>
    <t>3월 사무실 전기세</t>
    <phoneticPr fontId="11" type="noConversion"/>
  </si>
  <si>
    <t>大师兄餐饮</t>
  </si>
  <si>
    <t>Have coffee with SDPC</t>
  </si>
  <si>
    <t>魏慧</t>
  </si>
  <si>
    <t>裴娟实</t>
  </si>
  <si>
    <t>星莹美食店</t>
  </si>
  <si>
    <t>裴娟实/彩霞</t>
  </si>
  <si>
    <t>萍乡土菜</t>
  </si>
  <si>
    <t>Lunch with FITI</t>
  </si>
  <si>
    <t>牛佳兴</t>
  </si>
  <si>
    <t>출장비</t>
    <phoneticPr fontId="11" type="noConversion"/>
  </si>
  <si>
    <t>晶东</t>
  </si>
  <si>
    <t>고객 업무 추진 및 CRM 유지</t>
  </si>
  <si>
    <t>Li Xiang Yu</t>
  </si>
  <si>
    <t>郭老二</t>
  </si>
  <si>
    <t>TianMa</t>
  </si>
  <si>
    <t>Mason전문가, Eddie전문가</t>
  </si>
  <si>
    <t>고재홍 상무, 최상신 전문위원, 김기일 프로, 박상현 프로, 황대욱 프로, 변승찬 프로, 권유석 지사장, 김명관 프로, 신순연 프로</t>
  </si>
  <si>
    <t>韩庭</t>
  </si>
  <si>
    <t>고재홍 상무, 최상신 전문위원, 김기일 프로, 박상현 프로, 황대욱 프로, 변승찬 프로, 신순연 프로</t>
  </si>
  <si>
    <t>鱼头泡饭</t>
  </si>
  <si>
    <t>Pan Xiao Dong과장</t>
  </si>
  <si>
    <t>京华楼</t>
  </si>
  <si>
    <t>Nate전문가</t>
  </si>
  <si>
    <t>권유석 지사장, 이상태 프로, 박미령 프로, Xiong Feng프로, 신순연 프로</t>
  </si>
  <si>
    <t>Liu Kai Yu, Jiang Song Lin(대리점)</t>
  </si>
  <si>
    <t>Zhang Liang, Lin Wei Jian, 신순연</t>
  </si>
  <si>
    <t>河坝</t>
    <phoneticPr fontId="119" type="noConversion"/>
  </si>
  <si>
    <t>3월26일</t>
  </si>
  <si>
    <t>권유석</t>
  </si>
  <si>
    <t>스.벅</t>
  </si>
  <si>
    <t>음료</t>
  </si>
  <si>
    <t>조달구매</t>
  </si>
  <si>
    <t>권유석/정겨운</t>
  </si>
  <si>
    <t>소풍</t>
  </si>
  <si>
    <t>석식</t>
  </si>
  <si>
    <t>3월31일</t>
  </si>
  <si>
    <t>홍콩반점</t>
  </si>
  <si>
    <t>SDC</t>
  </si>
  <si>
    <t>구매(신우철 부장)</t>
  </si>
  <si>
    <t>4월2일</t>
  </si>
  <si>
    <t>세븐일레븐</t>
  </si>
  <si>
    <t>영업/KA</t>
  </si>
  <si>
    <t>권유석/신순연</t>
  </si>
  <si>
    <t>4월3일</t>
  </si>
  <si>
    <t>BOE</t>
  </si>
  <si>
    <t>김문청 사장</t>
  </si>
  <si>
    <t>4월17일</t>
  </si>
  <si>
    <t>김청길 사장(MTK 대리점)</t>
  </si>
  <si>
    <t>4월21일</t>
  </si>
  <si>
    <t>전통 찻집</t>
  </si>
  <si>
    <t>ESWIN</t>
  </si>
  <si>
    <t>구매 책임자/담당자</t>
  </si>
  <si>
    <t>订餐卡</t>
  </si>
  <si>
    <t>중식</t>
  </si>
  <si>
    <t>스타벅스</t>
  </si>
  <si>
    <t>Liu Wei, Yu Han</t>
  </si>
  <si>
    <t>Fan Xiankun, Yu Han</t>
  </si>
  <si>
    <t>외주 운영비</t>
    <phoneticPr fontId="11" type="noConversion"/>
  </si>
  <si>
    <t>SDPC便利店</t>
  </si>
  <si>
    <t>SDPC업무 추진</t>
  </si>
  <si>
    <t>孙志强</t>
  </si>
  <si>
    <t>印尼餐厅</t>
  </si>
  <si>
    <t>DK Park、Eddie等</t>
  </si>
  <si>
    <t>zhangliang、shenshunyan</t>
  </si>
  <si>
    <t>H1水果店</t>
  </si>
  <si>
    <t>费如涵、陈杰</t>
  </si>
  <si>
    <t>인도네시아 비자</t>
    <phoneticPr fontId="11" type="noConversion"/>
  </si>
  <si>
    <r>
      <t>출장비(4</t>
    </r>
    <r>
      <rPr>
        <b/>
        <sz val="9"/>
        <color theme="1"/>
        <rFont val="Malgun Gothic"/>
        <family val="2"/>
        <charset val="129"/>
      </rPr>
      <t>월분</t>
    </r>
    <r>
      <rPr>
        <b/>
        <sz val="9"/>
        <color theme="1"/>
        <rFont val="Malgun Gothic Semilight"/>
        <family val="2"/>
        <charset val="134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</si>
</sst>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₩&quot;#,##0;\-&quot;₩&quot;#,##0"/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#,##0.00_);[Red]\(#,##0.00\)"/>
    <numFmt numFmtId="179" formatCode="#,##0.00_ "/>
    <numFmt numFmtId="180" formatCode="_-* #,##0.00_-;\-* #,##0.00_-;_-* &quot;-&quot;_-;_-@_-"/>
    <numFmt numFmtId="181" formatCode="#,##0.00000_ "/>
    <numFmt numFmtId="182" formatCode="0_);[Red]\(0\)"/>
    <numFmt numFmtId="183" formatCode="_-* #,##0.0000_-;\-* #,##0.0000_-;_-* &quot;-&quot;_-;_-@_-"/>
    <numFmt numFmtId="184" formatCode="m&quot;/&quot;d;@"/>
    <numFmt numFmtId="185" formatCode="mm&quot;월&quot;\ dd&quot;일&quot;"/>
    <numFmt numFmtId="186" formatCode="_-* #,##0.0_-;\-* #,##0.0_-;_-* &quot;-&quot;_-;_-@_-"/>
    <numFmt numFmtId="187" formatCode="[$¥-804]#,##0.00"/>
    <numFmt numFmtId="188" formatCode="#,##0.0000_ "/>
    <numFmt numFmtId="189" formatCode="yyyy&quot;-&quot;m&quot;-&quot;d;@"/>
    <numFmt numFmtId="190" formatCode="0.00_ "/>
    <numFmt numFmtId="191" formatCode="_-* #,##0.000_-;\-* #,##0.000_-;_-* &quot;-&quot;_-;_-@_-"/>
    <numFmt numFmtId="192" formatCode="&quot;$&quot;#,##0.00_);[Red]\(&quot;$&quot;#,##0.00\)"/>
  </numFmts>
  <fonts count="1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Arial"/>
      <family val="2"/>
    </font>
    <font>
      <b/>
      <sz val="13.5"/>
      <color theme="0"/>
      <name val="Arial"/>
      <family val="2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8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theme="0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9"/>
      <name val="맑은 고딕"/>
      <family val="3"/>
      <charset val="129"/>
      <scheme val="minor"/>
    </font>
    <font>
      <sz val="10"/>
      <color theme="9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name val="宋体"/>
      <family val="3"/>
      <charset val="134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3.5"/>
      <name val="Arial"/>
      <family val="2"/>
    </font>
    <font>
      <b/>
      <sz val="13.5"/>
      <color rgb="FFFF0000"/>
      <name val="Arial"/>
      <family val="2"/>
    </font>
    <font>
      <sz val="10"/>
      <color theme="3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0"/>
      <name val="새굴림"/>
      <family val="3"/>
      <charset val="134"/>
    </font>
    <font>
      <sz val="10"/>
      <name val="Calibri"/>
      <family val="3"/>
    </font>
    <font>
      <sz val="10"/>
      <name val="맑은 고딕"/>
      <family val="3"/>
      <charset val="134"/>
    </font>
    <font>
      <sz val="10"/>
      <color rgb="FF000000"/>
      <name val="맑은 고딕"/>
      <family val="3"/>
      <charset val="129"/>
      <scheme val="minor"/>
    </font>
    <font>
      <sz val="10"/>
      <name val="NSimSun"/>
      <family val="3"/>
      <charset val="134"/>
    </font>
    <font>
      <sz val="9"/>
      <name val="맑은 고딕"/>
      <family val="3"/>
      <charset val="129"/>
      <scheme val="major"/>
    </font>
    <font>
      <sz val="10"/>
      <color theme="3"/>
      <name val="맑은 고딕"/>
      <family val="3"/>
      <charset val="129"/>
      <scheme val="minor"/>
    </font>
    <font>
      <sz val="10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9" tint="-0.249977111117893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3" tint="-0.249977111117893"/>
      <name val="맑은 고딕"/>
      <family val="3"/>
      <charset val="129"/>
      <scheme val="major"/>
    </font>
    <font>
      <b/>
      <sz val="8"/>
      <color indexed="81"/>
      <name val="맑은 고딕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맑은 고딕"/>
      <family val="3"/>
      <charset val="129"/>
      <scheme val="major"/>
    </font>
    <font>
      <sz val="9"/>
      <color theme="6"/>
      <name val="맑은 고딕"/>
      <family val="3"/>
      <charset val="129"/>
      <scheme val="major"/>
    </font>
    <font>
      <sz val="10"/>
      <color theme="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3" tint="-0.249977111117893"/>
      <name val="맑은 고딕"/>
      <family val="3"/>
      <charset val="129"/>
      <scheme val="major"/>
    </font>
    <font>
      <sz val="10"/>
      <color theme="1"/>
      <name val="맑은 고딕"/>
      <family val="3"/>
      <scheme val="minor"/>
    </font>
    <font>
      <sz val="10"/>
      <color theme="1"/>
      <name val="Calibri"/>
      <family val="2"/>
    </font>
    <font>
      <sz val="12"/>
      <color theme="0"/>
      <name val="굴림"/>
      <family val="3"/>
      <charset val="129"/>
    </font>
    <font>
      <sz val="12"/>
      <color theme="0"/>
      <name val="??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9"/>
      <color theme="1"/>
      <name val="맑은 고딕"/>
      <family val="3"/>
      <charset val="134"/>
      <scheme val="minor"/>
    </font>
    <font>
      <sz val="9"/>
      <color theme="1"/>
      <name val="맑은 고딕"/>
      <family val="1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color theme="1"/>
      <name val="맑은 고딕"/>
      <family val="2"/>
      <scheme val="major"/>
    </font>
    <font>
      <sz val="9"/>
      <color theme="1"/>
      <name val="微软雅黑"/>
      <family val="2"/>
      <charset val="134"/>
    </font>
    <font>
      <sz val="9"/>
      <color theme="1"/>
      <name val="Malgun Gothic"/>
      <family val="2"/>
      <charset val="129"/>
    </font>
    <font>
      <sz val="9"/>
      <name val="Malgun Gothic"/>
      <family val="2"/>
    </font>
    <font>
      <sz val="9"/>
      <color rgb="FFFF0000"/>
      <name val="Malgun Gothic"/>
      <family val="2"/>
    </font>
    <font>
      <sz val="9"/>
      <color theme="1"/>
      <name val="새굴림"/>
      <family val="3"/>
      <charset val="134"/>
    </font>
    <font>
      <sz val="9"/>
      <color theme="1"/>
      <name val="Calibri"/>
      <family val="3"/>
    </font>
    <font>
      <sz val="9"/>
      <color theme="1"/>
      <name val="맑은 고딕"/>
      <family val="3"/>
      <charset val="134"/>
    </font>
    <font>
      <sz val="10"/>
      <name val="Malgun Gothic"/>
      <family val="2"/>
    </font>
    <font>
      <sz val="9"/>
      <color theme="1"/>
      <name val="맑은 고딕"/>
      <family val="3"/>
      <charset val="134"/>
      <scheme val="major"/>
    </font>
    <font>
      <sz val="9"/>
      <name val="맑은 고딕"/>
      <family val="3"/>
      <scheme val="major"/>
    </font>
    <font>
      <sz val="9"/>
      <color theme="0"/>
      <name val="맑은 고딕"/>
      <family val="3"/>
      <scheme val="major"/>
    </font>
    <font>
      <sz val="9"/>
      <color theme="1"/>
      <name val="맑은 고딕"/>
      <family val="3"/>
      <scheme val="major"/>
    </font>
    <font>
      <sz val="9"/>
      <color rgb="FFFF0000"/>
      <name val="맑은 고딕"/>
      <family val="3"/>
      <scheme val="major"/>
    </font>
    <font>
      <b/>
      <sz val="9"/>
      <color theme="1"/>
      <name val="맑은 고딕"/>
      <family val="3"/>
      <scheme val="major"/>
    </font>
    <font>
      <b/>
      <sz val="9"/>
      <color theme="9" tint="-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34"/>
      <scheme val="minor"/>
    </font>
    <font>
      <b/>
      <sz val="9"/>
      <color theme="0" tint="-4.9989318521683403E-2"/>
      <name val="맑은 고딕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9"/>
      <name val="맑은 고딕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b/>
      <sz val="9"/>
      <color rgb="FF0070C0"/>
      <name val="Malgun Gothic"/>
      <family val="2"/>
      <charset val="129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  <font>
      <b/>
      <sz val="9"/>
      <color theme="1"/>
      <name val="Malgun Gothic Semilight"/>
      <family val="2"/>
      <charset val="129"/>
    </font>
    <font>
      <b/>
      <sz val="9"/>
      <color theme="1"/>
      <name val="Malgun Gothic Semilight"/>
      <family val="3"/>
      <charset val="129"/>
    </font>
    <font>
      <b/>
      <sz val="9"/>
      <name val="Malgun Gothic Semilight"/>
      <family val="3"/>
      <charset val="129"/>
    </font>
    <font>
      <b/>
      <sz val="9"/>
      <color rgb="FFFF0000"/>
      <name val="Malgun Gothic Semilight"/>
      <family val="3"/>
      <charset val="129"/>
    </font>
    <font>
      <b/>
      <sz val="9"/>
      <color theme="1"/>
      <name val="Malgun Gothic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theme="8" tint="0.59999389629810485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medium">
        <color theme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/>
      <diagonal/>
    </border>
    <border>
      <left style="medium">
        <color theme="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564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28" fillId="0" borderId="0"/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/>
    <xf numFmtId="0" fontId="43" fillId="0" borderId="0"/>
    <xf numFmtId="0" fontId="44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187" fontId="28" fillId="0" borderId="0"/>
    <xf numFmtId="187" fontId="31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31"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178" fontId="13" fillId="0" borderId="0" xfId="0" applyNumberFormat="1" applyFont="1">
      <alignment vertical="center"/>
    </xf>
    <xf numFmtId="0" fontId="17" fillId="0" borderId="0" xfId="0" applyFont="1">
      <alignment vertical="center"/>
    </xf>
    <xf numFmtId="179" fontId="18" fillId="2" borderId="1" xfId="1" applyNumberFormat="1" applyFont="1" applyFill="1" applyBorder="1" applyAlignment="1">
      <alignment horizontal="center" vertical="center"/>
    </xf>
    <xf numFmtId="179" fontId="18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180" fontId="21" fillId="0" borderId="1" xfId="1" applyNumberFormat="1" applyFont="1" applyBorder="1">
      <alignment vertical="center"/>
    </xf>
    <xf numFmtId="41" fontId="21" fillId="0" borderId="1" xfId="1" applyFont="1" applyBorder="1">
      <alignment vertical="center"/>
    </xf>
    <xf numFmtId="0" fontId="23" fillId="0" borderId="0" xfId="0" applyFont="1">
      <alignment vertical="center"/>
    </xf>
    <xf numFmtId="180" fontId="24" fillId="0" borderId="2" xfId="1" applyNumberFormat="1" applyFont="1" applyFill="1" applyBorder="1" applyAlignment="1">
      <alignment horizontal="center" vertical="center"/>
    </xf>
    <xf numFmtId="180" fontId="25" fillId="2" borderId="1" xfId="1" applyNumberFormat="1" applyFont="1" applyFill="1" applyBorder="1">
      <alignment vertical="center"/>
    </xf>
    <xf numFmtId="41" fontId="25" fillId="2" borderId="1" xfId="1" applyFont="1" applyFill="1" applyBorder="1">
      <alignment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80" fontId="23" fillId="0" borderId="0" xfId="1" applyNumberFormat="1" applyFont="1" applyFill="1">
      <alignment vertical="center"/>
    </xf>
    <xf numFmtId="0" fontId="24" fillId="0" borderId="0" xfId="0" applyFont="1">
      <alignment vertical="center"/>
    </xf>
    <xf numFmtId="180" fontId="24" fillId="0" borderId="0" xfId="1" applyNumberFormat="1" applyFont="1" applyAlignment="1">
      <alignment horizontal="right" vertical="center"/>
    </xf>
    <xf numFmtId="43" fontId="20" fillId="0" borderId="0" xfId="0" applyNumberFormat="1" applyFont="1">
      <alignment vertical="center"/>
    </xf>
    <xf numFmtId="43" fontId="21" fillId="0" borderId="0" xfId="0" applyNumberFormat="1" applyFont="1" applyAlignment="1">
      <alignment horizontal="left" vertical="center"/>
    </xf>
    <xf numFmtId="41" fontId="21" fillId="0" borderId="0" xfId="1" applyFont="1" applyAlignment="1">
      <alignment horizontal="left" vertical="center"/>
    </xf>
    <xf numFmtId="178" fontId="21" fillId="0" borderId="0" xfId="0" applyNumberFormat="1" applyFont="1">
      <alignment vertical="center"/>
    </xf>
    <xf numFmtId="180" fontId="21" fillId="0" borderId="0" xfId="1" applyNumberFormat="1" applyFont="1" applyAlignment="1">
      <alignment horizontal="right" vertical="center"/>
    </xf>
    <xf numFmtId="43" fontId="21" fillId="0" borderId="0" xfId="0" applyNumberFormat="1" applyFont="1">
      <alignment vertical="center"/>
    </xf>
    <xf numFmtId="178" fontId="27" fillId="2" borderId="9" xfId="0" applyNumberFormat="1" applyFont="1" applyFill="1" applyBorder="1" applyAlignment="1">
      <alignment horizontal="center" vertical="center"/>
    </xf>
    <xf numFmtId="179" fontId="27" fillId="2" borderId="9" xfId="0" applyNumberFormat="1" applyFont="1" applyFill="1" applyBorder="1" applyAlignment="1">
      <alignment horizontal="center" vertical="center"/>
    </xf>
    <xf numFmtId="180" fontId="27" fillId="2" borderId="9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>
      <alignment vertical="center"/>
    </xf>
    <xf numFmtId="184" fontId="13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80" fontId="13" fillId="0" borderId="12" xfId="1" applyNumberFormat="1" applyFont="1" applyFill="1" applyBorder="1" applyAlignment="1">
      <alignment horizontal="center" vertical="center"/>
    </xf>
    <xf numFmtId="180" fontId="13" fillId="0" borderId="12" xfId="1" applyNumberFormat="1" applyFont="1" applyBorder="1">
      <alignment vertical="center"/>
    </xf>
    <xf numFmtId="184" fontId="13" fillId="4" borderId="1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13" fillId="4" borderId="12" xfId="0" applyFont="1" applyFill="1" applyBorder="1">
      <alignment vertical="center"/>
    </xf>
    <xf numFmtId="180" fontId="13" fillId="4" borderId="12" xfId="1" applyNumberFormat="1" applyFont="1" applyFill="1" applyBorder="1" applyAlignment="1">
      <alignment horizontal="center" vertical="center"/>
    </xf>
    <xf numFmtId="43" fontId="13" fillId="0" borderId="0" xfId="0" applyNumberFormat="1" applyFont="1">
      <alignment vertical="center"/>
    </xf>
    <xf numFmtId="184" fontId="13" fillId="3" borderId="12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13" fillId="3" borderId="12" xfId="0" applyFont="1" applyFill="1" applyBorder="1">
      <alignment vertical="center"/>
    </xf>
    <xf numFmtId="180" fontId="13" fillId="3" borderId="12" xfId="1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80" fontId="13" fillId="4" borderId="12" xfId="1" applyNumberFormat="1" applyFont="1" applyFill="1" applyBorder="1">
      <alignment vertical="center"/>
    </xf>
    <xf numFmtId="180" fontId="13" fillId="3" borderId="12" xfId="1" applyNumberFormat="1" applyFont="1" applyFill="1" applyBorder="1">
      <alignment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>
      <alignment vertical="center"/>
    </xf>
    <xf numFmtId="184" fontId="13" fillId="5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13" fillId="5" borderId="12" xfId="0" applyFont="1" applyFill="1" applyBorder="1">
      <alignment vertical="center"/>
    </xf>
    <xf numFmtId="180" fontId="13" fillId="5" borderId="12" xfId="1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23" fillId="0" borderId="0" xfId="1" applyNumberFormat="1" applyFont="1" applyFill="1">
      <alignment vertical="center"/>
    </xf>
    <xf numFmtId="183" fontId="29" fillId="3" borderId="12" xfId="1" applyNumberFormat="1" applyFont="1" applyFill="1" applyBorder="1" applyAlignment="1">
      <alignment horizontal="center" vertical="center"/>
    </xf>
    <xf numFmtId="180" fontId="34" fillId="2" borderId="12" xfId="1" applyNumberFormat="1" applyFont="1" applyFill="1" applyBorder="1" applyAlignment="1">
      <alignment horizontal="center" vertical="center" wrapText="1"/>
    </xf>
    <xf numFmtId="180" fontId="34" fillId="2" borderId="12" xfId="1" applyNumberFormat="1" applyFont="1" applyFill="1" applyBorder="1" applyAlignment="1">
      <alignment horizontal="center" vertical="center"/>
    </xf>
    <xf numFmtId="43" fontId="22" fillId="2" borderId="12" xfId="1" applyNumberFormat="1" applyFont="1" applyFill="1" applyBorder="1" applyAlignment="1">
      <alignment horizontal="center" vertical="center"/>
    </xf>
    <xf numFmtId="178" fontId="22" fillId="2" borderId="12" xfId="1" applyNumberFormat="1" applyFont="1" applyFill="1" applyBorder="1" applyAlignment="1">
      <alignment horizontal="center" vertical="center"/>
    </xf>
    <xf numFmtId="182" fontId="22" fillId="2" borderId="12" xfId="2" applyNumberFormat="1" applyFont="1" applyFill="1" applyBorder="1" applyAlignment="1">
      <alignment horizontal="center" vertical="center"/>
    </xf>
    <xf numFmtId="4" fontId="13" fillId="0" borderId="12" xfId="0" applyNumberFormat="1" applyFont="1" applyBorder="1">
      <alignment vertical="center"/>
    </xf>
    <xf numFmtId="0" fontId="23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179" fontId="27" fillId="2" borderId="5" xfId="0" applyNumberFormat="1" applyFont="1" applyFill="1" applyBorder="1" applyAlignment="1">
      <alignment horizontal="center" vertical="center"/>
    </xf>
    <xf numFmtId="180" fontId="13" fillId="0" borderId="14" xfId="1" applyNumberFormat="1" applyFont="1" applyBorder="1">
      <alignment vertical="center"/>
    </xf>
    <xf numFmtId="180" fontId="13" fillId="4" borderId="14" xfId="1" applyNumberFormat="1" applyFont="1" applyFill="1" applyBorder="1" applyAlignment="1">
      <alignment horizontal="center" vertical="center"/>
    </xf>
    <xf numFmtId="180" fontId="13" fillId="0" borderId="14" xfId="1" applyNumberFormat="1" applyFont="1" applyFill="1" applyBorder="1" applyAlignment="1">
      <alignment horizontal="center" vertical="center"/>
    </xf>
    <xf numFmtId="180" fontId="13" fillId="5" borderId="14" xfId="1" applyNumberFormat="1" applyFont="1" applyFill="1" applyBorder="1" applyAlignment="1">
      <alignment horizontal="center" vertical="center"/>
    </xf>
    <xf numFmtId="180" fontId="13" fillId="3" borderId="14" xfId="1" applyNumberFormat="1" applyFont="1" applyFill="1" applyBorder="1" applyAlignment="1">
      <alignment horizontal="center" vertical="center"/>
    </xf>
    <xf numFmtId="179" fontId="27" fillId="2" borderId="7" xfId="0" applyNumberFormat="1" applyFont="1" applyFill="1" applyBorder="1" applyAlignment="1">
      <alignment horizontal="center" vertical="center"/>
    </xf>
    <xf numFmtId="180" fontId="29" fillId="4" borderId="15" xfId="1" applyNumberFormat="1" applyFont="1" applyFill="1" applyBorder="1" applyAlignment="1">
      <alignment horizontal="center" vertical="center"/>
    </xf>
    <xf numFmtId="180" fontId="29" fillId="0" borderId="15" xfId="1" applyNumberFormat="1" applyFont="1" applyFill="1" applyBorder="1" applyAlignment="1">
      <alignment horizontal="center" vertical="center"/>
    </xf>
    <xf numFmtId="180" fontId="29" fillId="5" borderId="15" xfId="1" applyNumberFormat="1" applyFont="1" applyFill="1" applyBorder="1" applyAlignment="1">
      <alignment horizontal="center" vertical="center"/>
    </xf>
    <xf numFmtId="180" fontId="29" fillId="3" borderId="15" xfId="1" applyNumberFormat="1" applyFont="1" applyFill="1" applyBorder="1" applyAlignment="1">
      <alignment horizontal="center" vertical="center"/>
    </xf>
    <xf numFmtId="180" fontId="13" fillId="0" borderId="16" xfId="1" applyNumberFormat="1" applyFont="1" applyBorder="1">
      <alignment vertical="center"/>
    </xf>
    <xf numFmtId="180" fontId="13" fillId="4" borderId="17" xfId="1" applyNumberFormat="1" applyFont="1" applyFill="1" applyBorder="1">
      <alignment vertical="center"/>
    </xf>
    <xf numFmtId="180" fontId="29" fillId="4" borderId="16" xfId="1" applyNumberFormat="1" applyFont="1" applyFill="1" applyBorder="1" applyAlignment="1">
      <alignment horizontal="center" vertical="center"/>
    </xf>
    <xf numFmtId="180" fontId="13" fillId="4" borderId="17" xfId="1" applyNumberFormat="1" applyFont="1" applyFill="1" applyBorder="1" applyAlignment="1">
      <alignment horizontal="center" vertical="center"/>
    </xf>
    <xf numFmtId="180" fontId="13" fillId="0" borderId="16" xfId="1" applyNumberFormat="1" applyFont="1" applyFill="1" applyBorder="1" applyAlignment="1">
      <alignment horizontal="center" vertical="center"/>
    </xf>
    <xf numFmtId="180" fontId="13" fillId="5" borderId="16" xfId="1" applyNumberFormat="1" applyFont="1" applyFill="1" applyBorder="1" applyAlignment="1">
      <alignment horizontal="center" vertical="center"/>
    </xf>
    <xf numFmtId="180" fontId="13" fillId="5" borderId="17" xfId="1" applyNumberFormat="1" applyFont="1" applyFill="1" applyBorder="1" applyAlignment="1">
      <alignment horizontal="center" vertical="center"/>
    </xf>
    <xf numFmtId="180" fontId="13" fillId="3" borderId="16" xfId="1" applyNumberFormat="1" applyFont="1" applyFill="1" applyBorder="1" applyAlignment="1">
      <alignment horizontal="center" vertical="center"/>
    </xf>
    <xf numFmtId="180" fontId="13" fillId="3" borderId="17" xfId="1" applyNumberFormat="1" applyFont="1" applyFill="1" applyBorder="1" applyAlignment="1">
      <alignment horizontal="center" vertical="center"/>
    </xf>
    <xf numFmtId="180" fontId="29" fillId="3" borderId="16" xfId="1" applyNumberFormat="1" applyFont="1" applyFill="1" applyBorder="1" applyAlignment="1">
      <alignment horizontal="center" vertical="center"/>
    </xf>
    <xf numFmtId="180" fontId="13" fillId="0" borderId="18" xfId="1" applyNumberFormat="1" applyFont="1" applyFill="1" applyBorder="1" applyAlignment="1">
      <alignment horizontal="center" vertical="center"/>
    </xf>
    <xf numFmtId="180" fontId="13" fillId="4" borderId="19" xfId="1" applyNumberFormat="1" applyFont="1" applyFill="1" applyBorder="1">
      <alignment vertical="center"/>
    </xf>
    <xf numFmtId="180" fontId="26" fillId="0" borderId="0" xfId="1" applyNumberFormat="1" applyFont="1" applyAlignment="1">
      <alignment horizontal="left" vertical="center"/>
    </xf>
    <xf numFmtId="0" fontId="38" fillId="0" borderId="0" xfId="0" applyFont="1">
      <alignment vertical="center"/>
    </xf>
    <xf numFmtId="180" fontId="38" fillId="0" borderId="0" xfId="1" applyNumberFormat="1" applyFont="1" applyFill="1">
      <alignment vertical="center"/>
    </xf>
    <xf numFmtId="180" fontId="30" fillId="0" borderId="0" xfId="0" applyNumberFormat="1" applyFont="1">
      <alignment vertical="center"/>
    </xf>
    <xf numFmtId="180" fontId="17" fillId="0" borderId="15" xfId="1" applyNumberFormat="1" applyFont="1" applyBorder="1">
      <alignment vertical="center"/>
    </xf>
    <xf numFmtId="180" fontId="13" fillId="5" borderId="17" xfId="1" applyNumberFormat="1" applyFont="1" applyFill="1" applyBorder="1">
      <alignment vertical="center"/>
    </xf>
    <xf numFmtId="180" fontId="13" fillId="0" borderId="12" xfId="1" applyNumberFormat="1" applyFont="1" applyFill="1" applyBorder="1">
      <alignment vertical="center"/>
    </xf>
    <xf numFmtId="180" fontId="13" fillId="0" borderId="14" xfId="1" applyNumberFormat="1" applyFont="1" applyFill="1" applyBorder="1">
      <alignment vertical="center"/>
    </xf>
    <xf numFmtId="184" fontId="13" fillId="8" borderId="20" xfId="0" applyNumberFormat="1" applyFont="1" applyFill="1" applyBorder="1" applyAlignment="1">
      <alignment horizontal="center" vertical="center"/>
    </xf>
    <xf numFmtId="0" fontId="13" fillId="8" borderId="20" xfId="0" applyFont="1" applyFill="1" applyBorder="1">
      <alignment vertical="center"/>
    </xf>
    <xf numFmtId="0" fontId="13" fillId="8" borderId="20" xfId="0" applyFont="1" applyFill="1" applyBorder="1" applyAlignment="1">
      <alignment horizontal="center" vertical="center"/>
    </xf>
    <xf numFmtId="180" fontId="13" fillId="8" borderId="20" xfId="1" applyNumberFormat="1" applyFont="1" applyFill="1" applyBorder="1">
      <alignment vertical="center"/>
    </xf>
    <xf numFmtId="180" fontId="13" fillId="8" borderId="21" xfId="1" applyNumberFormat="1" applyFont="1" applyFill="1" applyBorder="1">
      <alignment vertical="center"/>
    </xf>
    <xf numFmtId="180" fontId="13" fillId="8" borderId="22" xfId="1" applyNumberFormat="1" applyFont="1" applyFill="1" applyBorder="1">
      <alignment vertical="center"/>
    </xf>
    <xf numFmtId="180" fontId="13" fillId="8" borderId="23" xfId="1" applyNumberFormat="1" applyFont="1" applyFill="1" applyBorder="1">
      <alignment vertical="center"/>
    </xf>
    <xf numFmtId="180" fontId="13" fillId="8" borderId="24" xfId="1" applyNumberFormat="1" applyFont="1" applyFill="1" applyBorder="1">
      <alignment vertical="center"/>
    </xf>
    <xf numFmtId="0" fontId="39" fillId="0" borderId="0" xfId="0" applyFo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80" fontId="13" fillId="0" borderId="1" xfId="1" applyNumberFormat="1" applyFont="1" applyBorder="1">
      <alignment vertical="center"/>
    </xf>
    <xf numFmtId="41" fontId="13" fillId="0" borderId="1" xfId="1" applyFont="1" applyBorder="1">
      <alignment vertical="center"/>
    </xf>
    <xf numFmtId="180" fontId="22" fillId="0" borderId="0" xfId="1" applyNumberFormat="1" applyFont="1" applyFill="1">
      <alignment vertical="center"/>
    </xf>
    <xf numFmtId="0" fontId="22" fillId="0" borderId="0" xfId="0" applyFont="1">
      <alignment vertical="center"/>
    </xf>
    <xf numFmtId="180" fontId="29" fillId="0" borderId="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180" fontId="34" fillId="2" borderId="1" xfId="1" applyNumberFormat="1" applyFont="1" applyFill="1" applyBorder="1">
      <alignment vertical="center"/>
    </xf>
    <xf numFmtId="41" fontId="34" fillId="2" borderId="1" xfId="1" applyFont="1" applyFill="1" applyBorder="1">
      <alignment vertical="center"/>
    </xf>
    <xf numFmtId="0" fontId="4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80" fontId="40" fillId="0" borderId="0" xfId="1" applyNumberFormat="1" applyFont="1" applyAlignment="1">
      <alignment horizontal="left" vertical="center"/>
    </xf>
    <xf numFmtId="180" fontId="39" fillId="0" borderId="0" xfId="1" applyNumberFormat="1" applyFont="1" applyFill="1">
      <alignment vertical="center"/>
    </xf>
    <xf numFmtId="0" fontId="29" fillId="0" borderId="0" xfId="0" applyFont="1">
      <alignment vertical="center"/>
    </xf>
    <xf numFmtId="180" fontId="29" fillId="0" borderId="0" xfId="1" applyNumberFormat="1" applyFont="1" applyAlignment="1">
      <alignment horizontal="right" vertical="center"/>
    </xf>
    <xf numFmtId="43" fontId="17" fillId="0" borderId="0" xfId="0" applyNumberFormat="1" applyFont="1">
      <alignment vertical="center"/>
    </xf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1" fontId="13" fillId="0" borderId="0" xfId="1" applyFont="1" applyAlignment="1">
      <alignment horizontal="left" vertical="center"/>
    </xf>
    <xf numFmtId="180" fontId="13" fillId="0" borderId="0" xfId="1" applyNumberFormat="1" applyFont="1" applyAlignment="1">
      <alignment horizontal="right" vertical="center"/>
    </xf>
    <xf numFmtId="185" fontId="13" fillId="0" borderId="12" xfId="0" applyNumberFormat="1" applyFont="1" applyBorder="1" applyAlignment="1">
      <alignment horizontal="center" vertical="center"/>
    </xf>
    <xf numFmtId="0" fontId="34" fillId="0" borderId="0" xfId="0" applyFont="1">
      <alignment vertical="center"/>
    </xf>
    <xf numFmtId="179" fontId="34" fillId="2" borderId="1" xfId="1" applyNumberFormat="1" applyFont="1" applyFill="1" applyBorder="1" applyAlignment="1">
      <alignment horizontal="center" vertical="center"/>
    </xf>
    <xf numFmtId="179" fontId="34" fillId="2" borderId="1" xfId="1" applyNumberFormat="1" applyFont="1" applyFill="1" applyBorder="1" applyAlignment="1">
      <alignment horizontal="center" vertical="center" wrapText="1"/>
    </xf>
    <xf numFmtId="178" fontId="34" fillId="2" borderId="9" xfId="0" applyNumberFormat="1" applyFont="1" applyFill="1" applyBorder="1" applyAlignment="1">
      <alignment horizontal="center" vertical="center"/>
    </xf>
    <xf numFmtId="179" fontId="34" fillId="2" borderId="5" xfId="0" applyNumberFormat="1" applyFont="1" applyFill="1" applyBorder="1" applyAlignment="1">
      <alignment horizontal="center" vertical="center"/>
    </xf>
    <xf numFmtId="180" fontId="34" fillId="2" borderId="9" xfId="1" applyNumberFormat="1" applyFont="1" applyFill="1" applyBorder="1" applyAlignment="1">
      <alignment horizontal="center" vertical="center"/>
    </xf>
    <xf numFmtId="179" fontId="34" fillId="2" borderId="7" xfId="0" applyNumberFormat="1" applyFont="1" applyFill="1" applyBorder="1" applyAlignment="1">
      <alignment horizontal="center" vertical="center"/>
    </xf>
    <xf numFmtId="179" fontId="34" fillId="2" borderId="9" xfId="0" applyNumberFormat="1" applyFont="1" applyFill="1" applyBorder="1" applyAlignment="1">
      <alignment horizontal="center" vertical="center"/>
    </xf>
    <xf numFmtId="180" fontId="0" fillId="0" borderId="0" xfId="1" applyNumberFormat="1" applyFont="1">
      <alignment vertical="center"/>
    </xf>
    <xf numFmtId="180" fontId="13" fillId="0" borderId="0" xfId="0" applyNumberFormat="1" applyFont="1">
      <alignment vertical="center"/>
    </xf>
    <xf numFmtId="185" fontId="13" fillId="10" borderId="12" xfId="0" applyNumberFormat="1" applyFont="1" applyFill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2" xfId="0" applyFont="1" applyFill="1" applyBorder="1">
      <alignment vertical="center"/>
    </xf>
    <xf numFmtId="180" fontId="13" fillId="10" borderId="12" xfId="1" applyNumberFormat="1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left" vertical="center"/>
    </xf>
    <xf numFmtId="0" fontId="13" fillId="8" borderId="14" xfId="0" applyFont="1" applyFill="1" applyBorder="1">
      <alignment vertical="center"/>
    </xf>
    <xf numFmtId="0" fontId="13" fillId="8" borderId="15" xfId="0" applyFont="1" applyFill="1" applyBorder="1">
      <alignment vertical="center"/>
    </xf>
    <xf numFmtId="0" fontId="13" fillId="10" borderId="14" xfId="0" applyFont="1" applyFill="1" applyBorder="1">
      <alignment vertical="center"/>
    </xf>
    <xf numFmtId="0" fontId="13" fillId="10" borderId="15" xfId="0" applyFont="1" applyFill="1" applyBorder="1">
      <alignment vertical="center"/>
    </xf>
    <xf numFmtId="0" fontId="13" fillId="0" borderId="14" xfId="0" applyFont="1" applyBorder="1">
      <alignment vertical="center"/>
    </xf>
    <xf numFmtId="0" fontId="13" fillId="0" borderId="15" xfId="0" applyFont="1" applyBorder="1">
      <alignment vertical="center"/>
    </xf>
    <xf numFmtId="0" fontId="13" fillId="0" borderId="20" xfId="0" applyFont="1" applyBorder="1">
      <alignment vertical="center"/>
    </xf>
    <xf numFmtId="180" fontId="13" fillId="0" borderId="20" xfId="1" applyNumberFormat="1" applyFont="1" applyBorder="1">
      <alignment vertical="center"/>
    </xf>
    <xf numFmtId="0" fontId="29" fillId="7" borderId="12" xfId="2" applyFont="1" applyFill="1" applyBorder="1" applyAlignment="1">
      <alignment horizontal="center" vertical="center"/>
    </xf>
    <xf numFmtId="43" fontId="29" fillId="7" borderId="12" xfId="4" applyNumberFormat="1" applyFont="1" applyFill="1" applyBorder="1" applyAlignment="1">
      <alignment vertical="center"/>
    </xf>
    <xf numFmtId="178" fontId="29" fillId="7" borderId="12" xfId="4" applyNumberFormat="1" applyFont="1" applyFill="1" applyBorder="1" applyAlignment="1">
      <alignment vertical="center"/>
    </xf>
    <xf numFmtId="180" fontId="41" fillId="7" borderId="12" xfId="4" applyNumberFormat="1" applyFont="1" applyFill="1" applyBorder="1" applyAlignment="1">
      <alignment vertical="center"/>
    </xf>
    <xf numFmtId="182" fontId="29" fillId="7" borderId="12" xfId="2" applyNumberFormat="1" applyFont="1" applyFill="1" applyBorder="1" applyAlignment="1">
      <alignment vertical="center"/>
    </xf>
    <xf numFmtId="180" fontId="29" fillId="0" borderId="12" xfId="4" applyNumberFormat="1" applyFont="1" applyBorder="1" applyAlignment="1">
      <alignment horizontal="center" vertical="center"/>
    </xf>
    <xf numFmtId="43" fontId="13" fillId="0" borderId="12" xfId="4" applyNumberFormat="1" applyFont="1" applyFill="1" applyBorder="1" applyAlignment="1">
      <alignment horizontal="center" vertical="center"/>
    </xf>
    <xf numFmtId="180" fontId="29" fillId="0" borderId="12" xfId="4" applyNumberFormat="1" applyFont="1" applyBorder="1" applyAlignment="1">
      <alignment vertical="center"/>
    </xf>
    <xf numFmtId="180" fontId="13" fillId="0" borderId="12" xfId="4" applyNumberFormat="1" applyFont="1" applyFill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180" fontId="24" fillId="0" borderId="12" xfId="4" applyNumberFormat="1" applyFont="1" applyFill="1" applyBorder="1" applyAlignment="1">
      <alignment horizontal="center" vertical="center"/>
    </xf>
    <xf numFmtId="180" fontId="13" fillId="10" borderId="14" xfId="1" applyNumberFormat="1" applyFont="1" applyFill="1" applyBorder="1" applyAlignment="1">
      <alignment horizontal="center" vertical="center"/>
    </xf>
    <xf numFmtId="180" fontId="29" fillId="10" borderId="15" xfId="1" applyNumberFormat="1" applyFont="1" applyFill="1" applyBorder="1" applyAlignment="1">
      <alignment horizontal="center" vertical="center"/>
    </xf>
    <xf numFmtId="180" fontId="29" fillId="10" borderId="16" xfId="1" applyNumberFormat="1" applyFont="1" applyFill="1" applyBorder="1" applyAlignment="1">
      <alignment horizontal="center" vertical="center"/>
    </xf>
    <xf numFmtId="180" fontId="29" fillId="0" borderId="16" xfId="1" applyNumberFormat="1" applyFont="1" applyFill="1" applyBorder="1" applyAlignment="1">
      <alignment horizontal="center" vertical="center"/>
    </xf>
    <xf numFmtId="180" fontId="13" fillId="9" borderId="17" xfId="1" applyNumberFormat="1" applyFont="1" applyFill="1" applyBorder="1">
      <alignment vertical="center"/>
    </xf>
    <xf numFmtId="180" fontId="13" fillId="9" borderId="19" xfId="1" applyNumberFormat="1" applyFont="1" applyFill="1" applyBorder="1">
      <alignment vertical="center"/>
    </xf>
    <xf numFmtId="180" fontId="17" fillId="0" borderId="0" xfId="1" applyNumberFormat="1" applyFont="1" applyFill="1">
      <alignment vertical="center"/>
    </xf>
    <xf numFmtId="0" fontId="13" fillId="5" borderId="14" xfId="0" applyFont="1" applyFill="1" applyBorder="1">
      <alignment vertical="center"/>
    </xf>
    <xf numFmtId="0" fontId="13" fillId="5" borderId="15" xfId="0" applyFont="1" applyFill="1" applyBorder="1">
      <alignment vertical="center"/>
    </xf>
    <xf numFmtId="180" fontId="13" fillId="5" borderId="12" xfId="1" applyNumberFormat="1" applyFont="1" applyFill="1" applyBorder="1">
      <alignment vertical="center"/>
    </xf>
    <xf numFmtId="180" fontId="29" fillId="5" borderId="16" xfId="1" applyNumberFormat="1" applyFont="1" applyFill="1" applyBorder="1" applyAlignment="1">
      <alignment horizontal="center" vertical="center"/>
    </xf>
    <xf numFmtId="185" fontId="13" fillId="11" borderId="12" xfId="0" applyNumberFormat="1" applyFont="1" applyFill="1" applyBorder="1" applyAlignment="1">
      <alignment horizontal="center" vertical="center"/>
    </xf>
    <xf numFmtId="0" fontId="13" fillId="11" borderId="14" xfId="0" applyFont="1" applyFill="1" applyBorder="1">
      <alignment vertical="center"/>
    </xf>
    <xf numFmtId="0" fontId="13" fillId="11" borderId="15" xfId="0" applyFont="1" applyFill="1" applyBorder="1">
      <alignment vertical="center"/>
    </xf>
    <xf numFmtId="0" fontId="29" fillId="11" borderId="12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12" xfId="0" applyFont="1" applyFill="1" applyBorder="1">
      <alignment vertical="center"/>
    </xf>
    <xf numFmtId="180" fontId="13" fillId="11" borderId="12" xfId="1" applyNumberFormat="1" applyFont="1" applyFill="1" applyBorder="1">
      <alignment vertical="center"/>
    </xf>
    <xf numFmtId="180" fontId="13" fillId="11" borderId="14" xfId="1" applyNumberFormat="1" applyFont="1" applyFill="1" applyBorder="1" applyAlignment="1">
      <alignment horizontal="center" vertical="center"/>
    </xf>
    <xf numFmtId="180" fontId="29" fillId="11" borderId="16" xfId="1" applyNumberFormat="1" applyFont="1" applyFill="1" applyBorder="1" applyAlignment="1">
      <alignment horizontal="center" vertical="center"/>
    </xf>
    <xf numFmtId="180" fontId="13" fillId="11" borderId="17" xfId="1" applyNumberFormat="1" applyFont="1" applyFill="1" applyBorder="1">
      <alignment vertical="center"/>
    </xf>
    <xf numFmtId="180" fontId="29" fillId="11" borderId="15" xfId="1" applyNumberFormat="1" applyFont="1" applyFill="1" applyBorder="1" applyAlignment="1">
      <alignment horizontal="center" vertical="center"/>
    </xf>
    <xf numFmtId="180" fontId="13" fillId="11" borderId="12" xfId="1" applyNumberFormat="1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left" vertical="center"/>
    </xf>
    <xf numFmtId="180" fontId="13" fillId="9" borderId="12" xfId="1" applyNumberFormat="1" applyFont="1" applyFill="1" applyBorder="1">
      <alignment vertical="center"/>
    </xf>
    <xf numFmtId="179" fontId="18" fillId="2" borderId="6" xfId="1" applyNumberFormat="1" applyFont="1" applyFill="1" applyBorder="1" applyAlignment="1">
      <alignment horizontal="center" vertical="center"/>
    </xf>
    <xf numFmtId="179" fontId="18" fillId="2" borderId="0" xfId="1" applyNumberFormat="1" applyFont="1" applyFill="1" applyBorder="1" applyAlignment="1">
      <alignment horizontal="center" vertical="center"/>
    </xf>
    <xf numFmtId="179" fontId="27" fillId="2" borderId="8" xfId="0" applyNumberFormat="1" applyFont="1" applyFill="1" applyBorder="1" applyAlignment="1">
      <alignment horizontal="center" vertical="center"/>
    </xf>
    <xf numFmtId="180" fontId="17" fillId="0" borderId="18" xfId="1" applyNumberFormat="1" applyFont="1" applyFill="1" applyBorder="1" applyAlignment="1">
      <alignment horizontal="center" vertical="center"/>
    </xf>
    <xf numFmtId="180" fontId="17" fillId="0" borderId="16" xfId="1" applyNumberFormat="1" applyFont="1" applyFill="1" applyBorder="1" applyAlignment="1">
      <alignment horizontal="center" vertical="center"/>
    </xf>
    <xf numFmtId="180" fontId="17" fillId="10" borderId="16" xfId="1" applyNumberFormat="1" applyFont="1" applyFill="1" applyBorder="1" applyAlignment="1">
      <alignment horizontal="center" vertical="center"/>
    </xf>
    <xf numFmtId="41" fontId="13" fillId="0" borderId="0" xfId="4" applyFont="1" applyAlignment="1">
      <alignment horizontal="left" vertical="center"/>
    </xf>
    <xf numFmtId="180" fontId="13" fillId="12" borderId="17" xfId="1" applyNumberFormat="1" applyFont="1" applyFill="1" applyBorder="1">
      <alignment vertical="center"/>
    </xf>
    <xf numFmtId="180" fontId="13" fillId="12" borderId="19" xfId="1" applyNumberFormat="1" applyFont="1" applyFill="1" applyBorder="1">
      <alignment vertical="center"/>
    </xf>
    <xf numFmtId="180" fontId="13" fillId="13" borderId="19" xfId="1" applyNumberFormat="1" applyFont="1" applyFill="1" applyBorder="1">
      <alignment vertical="center"/>
    </xf>
    <xf numFmtId="180" fontId="13" fillId="13" borderId="17" xfId="1" applyNumberFormat="1" applyFont="1" applyFill="1" applyBorder="1">
      <alignment vertical="center"/>
    </xf>
    <xf numFmtId="180" fontId="27" fillId="2" borderId="7" xfId="1" applyNumberFormat="1" applyFont="1" applyFill="1" applyBorder="1" applyAlignment="1">
      <alignment horizontal="center" vertical="center"/>
    </xf>
    <xf numFmtId="180" fontId="13" fillId="4" borderId="25" xfId="1" applyNumberFormat="1" applyFont="1" applyFill="1" applyBorder="1">
      <alignment vertical="center"/>
    </xf>
    <xf numFmtId="180" fontId="13" fillId="4" borderId="25" xfId="1" applyNumberFormat="1" applyFont="1" applyFill="1" applyBorder="1" applyAlignment="1">
      <alignment horizontal="center" vertical="center"/>
    </xf>
    <xf numFmtId="180" fontId="13" fillId="5" borderId="25" xfId="1" applyNumberFormat="1" applyFont="1" applyFill="1" applyBorder="1" applyAlignment="1">
      <alignment horizontal="center" vertical="center"/>
    </xf>
    <xf numFmtId="180" fontId="13" fillId="3" borderId="25" xfId="1" applyNumberFormat="1" applyFont="1" applyFill="1" applyBorder="1" applyAlignment="1">
      <alignment horizontal="center" vertical="center"/>
    </xf>
    <xf numFmtId="180" fontId="13" fillId="12" borderId="25" xfId="1" applyNumberFormat="1" applyFont="1" applyFill="1" applyBorder="1">
      <alignment vertical="center"/>
    </xf>
    <xf numFmtId="180" fontId="13" fillId="9" borderId="25" xfId="1" applyNumberFormat="1" applyFont="1" applyFill="1" applyBorder="1">
      <alignment vertical="center"/>
    </xf>
    <xf numFmtId="0" fontId="42" fillId="0" borderId="12" xfId="0" applyFont="1" applyBorder="1" applyAlignment="1">
      <alignment horizontal="left" vertical="center"/>
    </xf>
    <xf numFmtId="180" fontId="29" fillId="0" borderId="27" xfId="1" applyNumberFormat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80" fontId="13" fillId="8" borderId="17" xfId="1" applyNumberFormat="1" applyFont="1" applyFill="1" applyBorder="1">
      <alignment vertical="center"/>
    </xf>
    <xf numFmtId="0" fontId="13" fillId="4" borderId="14" xfId="0" applyFont="1" applyFill="1" applyBorder="1">
      <alignment vertical="center"/>
    </xf>
    <xf numFmtId="0" fontId="13" fillId="4" borderId="15" xfId="0" applyFont="1" applyFill="1" applyBorder="1">
      <alignment vertical="center"/>
    </xf>
    <xf numFmtId="184" fontId="13" fillId="14" borderId="12" xfId="0" applyNumberFormat="1" applyFont="1" applyFill="1" applyBorder="1" applyAlignment="1">
      <alignment horizontal="center" vertical="center"/>
    </xf>
    <xf numFmtId="0" fontId="13" fillId="14" borderId="14" xfId="0" applyFont="1" applyFill="1" applyBorder="1">
      <alignment vertical="center"/>
    </xf>
    <xf numFmtId="0" fontId="13" fillId="14" borderId="15" xfId="0" applyFont="1" applyFill="1" applyBorder="1">
      <alignment vertical="center"/>
    </xf>
    <xf numFmtId="0" fontId="29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>
      <alignment vertical="center"/>
    </xf>
    <xf numFmtId="180" fontId="13" fillId="14" borderId="12" xfId="1" applyNumberFormat="1" applyFont="1" applyFill="1" applyBorder="1">
      <alignment vertical="center"/>
    </xf>
    <xf numFmtId="180" fontId="13" fillId="14" borderId="14" xfId="1" applyNumberFormat="1" applyFont="1" applyFill="1" applyBorder="1" applyAlignment="1">
      <alignment horizontal="center" vertical="center"/>
    </xf>
    <xf numFmtId="180" fontId="29" fillId="14" borderId="16" xfId="1" applyNumberFormat="1" applyFont="1" applyFill="1" applyBorder="1" applyAlignment="1">
      <alignment horizontal="center" vertical="center"/>
    </xf>
    <xf numFmtId="180" fontId="29" fillId="14" borderId="15" xfId="1" applyNumberFormat="1" applyFont="1" applyFill="1" applyBorder="1" applyAlignment="1">
      <alignment horizontal="center" vertical="center"/>
    </xf>
    <xf numFmtId="180" fontId="13" fillId="14" borderId="12" xfId="1" applyNumberFormat="1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left" vertical="center"/>
    </xf>
    <xf numFmtId="180" fontId="13" fillId="0" borderId="0" xfId="4" applyNumberFormat="1" applyFont="1">
      <alignment vertical="center"/>
    </xf>
    <xf numFmtId="180" fontId="34" fillId="2" borderId="1" xfId="4" applyNumberFormat="1" applyFont="1" applyFill="1" applyBorder="1" applyAlignment="1">
      <alignment horizontal="center" vertical="center" wrapText="1"/>
    </xf>
    <xf numFmtId="184" fontId="13" fillId="8" borderId="12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2" xfId="0" applyFont="1" applyFill="1" applyBorder="1">
      <alignment vertical="center"/>
    </xf>
    <xf numFmtId="180" fontId="13" fillId="8" borderId="12" xfId="1" applyNumberFormat="1" applyFont="1" applyFill="1" applyBorder="1">
      <alignment vertical="center"/>
    </xf>
    <xf numFmtId="180" fontId="13" fillId="8" borderId="14" xfId="1" applyNumberFormat="1" applyFont="1" applyFill="1" applyBorder="1" applyAlignment="1">
      <alignment horizontal="center" vertical="center"/>
    </xf>
    <xf numFmtId="180" fontId="29" fillId="8" borderId="16" xfId="1" applyNumberFormat="1" applyFont="1" applyFill="1" applyBorder="1" applyAlignment="1">
      <alignment horizontal="center" vertical="center"/>
    </xf>
    <xf numFmtId="180" fontId="29" fillId="8" borderId="15" xfId="1" applyNumberFormat="1" applyFont="1" applyFill="1" applyBorder="1" applyAlignment="1">
      <alignment horizontal="center" vertical="center"/>
    </xf>
    <xf numFmtId="180" fontId="13" fillId="8" borderId="12" xfId="1" applyNumberFormat="1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left" vertical="center"/>
    </xf>
    <xf numFmtId="0" fontId="29" fillId="0" borderId="14" xfId="0" applyFont="1" applyBorder="1">
      <alignment vertical="center"/>
    </xf>
    <xf numFmtId="41" fontId="22" fillId="0" borderId="0" xfId="0" applyNumberFormat="1" applyFont="1">
      <alignment vertical="center"/>
    </xf>
    <xf numFmtId="0" fontId="13" fillId="0" borderId="12" xfId="0" applyFont="1" applyBorder="1" applyAlignment="1">
      <alignment horizontal="left" vertical="center" wrapText="1"/>
    </xf>
    <xf numFmtId="41" fontId="40" fillId="0" borderId="0" xfId="1" applyFont="1" applyAlignment="1">
      <alignment horizontal="left" vertical="center"/>
    </xf>
    <xf numFmtId="180" fontId="29" fillId="15" borderId="16" xfId="1" applyNumberFormat="1" applyFont="1" applyFill="1" applyBorder="1" applyAlignment="1">
      <alignment horizontal="center" vertical="center"/>
    </xf>
    <xf numFmtId="0" fontId="29" fillId="8" borderId="14" xfId="0" applyFont="1" applyFill="1" applyBorder="1">
      <alignment vertical="center"/>
    </xf>
    <xf numFmtId="43" fontId="22" fillId="0" borderId="0" xfId="0" applyNumberFormat="1" applyFont="1">
      <alignment vertical="center"/>
    </xf>
    <xf numFmtId="184" fontId="13" fillId="11" borderId="12" xfId="0" applyNumberFormat="1" applyFont="1" applyFill="1" applyBorder="1" applyAlignment="1">
      <alignment horizontal="center" vertical="center"/>
    </xf>
    <xf numFmtId="0" fontId="29" fillId="11" borderId="14" xfId="0" applyFont="1" applyFill="1" applyBorder="1">
      <alignment vertical="center"/>
    </xf>
    <xf numFmtId="0" fontId="29" fillId="3" borderId="14" xfId="0" applyFont="1" applyFill="1" applyBorder="1">
      <alignment vertical="center"/>
    </xf>
    <xf numFmtId="0" fontId="13" fillId="3" borderId="15" xfId="0" applyFont="1" applyFill="1" applyBorder="1">
      <alignment vertical="center"/>
    </xf>
    <xf numFmtId="180" fontId="13" fillId="3" borderId="17" xfId="1" applyNumberFormat="1" applyFont="1" applyFill="1" applyBorder="1">
      <alignment vertical="center"/>
    </xf>
    <xf numFmtId="180" fontId="29" fillId="0" borderId="0" xfId="1" applyNumberFormat="1" applyFont="1" applyFill="1" applyBorder="1" applyAlignment="1">
      <alignment horizontal="center" vertical="center"/>
    </xf>
    <xf numFmtId="0" fontId="13" fillId="5" borderId="25" xfId="0" applyFont="1" applyFill="1" applyBorder="1">
      <alignment vertical="center"/>
    </xf>
    <xf numFmtId="0" fontId="29" fillId="0" borderId="25" xfId="0" applyFont="1" applyBorder="1">
      <alignment vertical="center"/>
    </xf>
    <xf numFmtId="0" fontId="29" fillId="4" borderId="25" xfId="0" applyFont="1" applyFill="1" applyBorder="1">
      <alignment vertical="center"/>
    </xf>
    <xf numFmtId="184" fontId="21" fillId="0" borderId="12" xfId="0" applyNumberFormat="1" applyFont="1" applyBorder="1" applyAlignment="1">
      <alignment horizontal="center" vertical="center"/>
    </xf>
    <xf numFmtId="184" fontId="21" fillId="4" borderId="12" xfId="0" applyNumberFormat="1" applyFont="1" applyFill="1" applyBorder="1" applyAlignment="1">
      <alignment horizontal="center" vertical="center"/>
    </xf>
    <xf numFmtId="0" fontId="17" fillId="15" borderId="0" xfId="0" applyFont="1" applyFill="1">
      <alignment vertical="center"/>
    </xf>
    <xf numFmtId="180" fontId="17" fillId="15" borderId="0" xfId="1" applyNumberFormat="1" applyFont="1" applyFill="1">
      <alignment vertical="center"/>
    </xf>
    <xf numFmtId="0" fontId="17" fillId="15" borderId="0" xfId="1" applyNumberFormat="1" applyFont="1" applyFill="1">
      <alignment vertical="center"/>
    </xf>
    <xf numFmtId="178" fontId="34" fillId="2" borderId="12" xfId="0" applyNumberFormat="1" applyFont="1" applyFill="1" applyBorder="1" applyAlignment="1">
      <alignment horizontal="center" vertical="center"/>
    </xf>
    <xf numFmtId="179" fontId="34" fillId="2" borderId="12" xfId="0" applyNumberFormat="1" applyFont="1" applyFill="1" applyBorder="1" applyAlignment="1">
      <alignment horizontal="center" vertical="center"/>
    </xf>
    <xf numFmtId="180" fontId="29" fillId="5" borderId="12" xfId="1" applyNumberFormat="1" applyFont="1" applyFill="1" applyBorder="1" applyAlignment="1">
      <alignment horizontal="center" vertical="center"/>
    </xf>
    <xf numFmtId="180" fontId="29" fillId="0" borderId="12" xfId="1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80" fontId="24" fillId="0" borderId="12" xfId="1" applyNumberFormat="1" applyFont="1" applyFill="1" applyBorder="1" applyAlignment="1">
      <alignment horizontal="center" vertical="center"/>
    </xf>
    <xf numFmtId="180" fontId="21" fillId="0" borderId="12" xfId="1" applyNumberFormat="1" applyFont="1" applyFill="1" applyBorder="1" applyAlignment="1">
      <alignment horizontal="center" vertical="center"/>
    </xf>
    <xf numFmtId="180" fontId="21" fillId="0" borderId="12" xfId="1" applyNumberFormat="1" applyFont="1" applyBorder="1" applyAlignment="1">
      <alignment horizontal="center" vertical="center"/>
    </xf>
    <xf numFmtId="180" fontId="13" fillId="0" borderId="12" xfId="1" applyNumberFormat="1" applyFont="1" applyBorder="1" applyAlignment="1">
      <alignment horizontal="center" vertical="center"/>
    </xf>
    <xf numFmtId="184" fontId="21" fillId="10" borderId="12" xfId="0" applyNumberFormat="1" applyFont="1" applyFill="1" applyBorder="1" applyAlignment="1">
      <alignment horizontal="center" vertical="center"/>
    </xf>
    <xf numFmtId="0" fontId="29" fillId="10" borderId="14" xfId="0" applyFont="1" applyFill="1" applyBorder="1">
      <alignment vertical="center"/>
    </xf>
    <xf numFmtId="180" fontId="13" fillId="10" borderId="12" xfId="1" applyNumberFormat="1" applyFont="1" applyFill="1" applyBorder="1">
      <alignment vertical="center"/>
    </xf>
    <xf numFmtId="180" fontId="24" fillId="10" borderId="12" xfId="1" applyNumberFormat="1" applyFont="1" applyFill="1" applyBorder="1" applyAlignment="1">
      <alignment horizontal="center" vertical="center"/>
    </xf>
    <xf numFmtId="180" fontId="29" fillId="10" borderId="12" xfId="1" applyNumberFormat="1" applyFont="1" applyFill="1" applyBorder="1" applyAlignment="1">
      <alignment horizontal="center" vertical="center"/>
    </xf>
    <xf numFmtId="6" fontId="22" fillId="0" borderId="12" xfId="0" applyNumberFormat="1" applyFont="1" applyBorder="1" applyAlignment="1">
      <alignment horizontal="left" vertical="center"/>
    </xf>
    <xf numFmtId="180" fontId="13" fillId="16" borderId="12" xfId="1" applyNumberFormat="1" applyFont="1" applyFill="1" applyBorder="1">
      <alignment vertical="center"/>
    </xf>
    <xf numFmtId="0" fontId="29" fillId="5" borderId="14" xfId="0" applyFont="1" applyFill="1" applyBorder="1">
      <alignment vertical="center"/>
    </xf>
    <xf numFmtId="180" fontId="24" fillId="5" borderId="12" xfId="1" applyNumberFormat="1" applyFont="1" applyFill="1" applyBorder="1" applyAlignment="1">
      <alignment horizontal="center" vertical="center"/>
    </xf>
    <xf numFmtId="4" fontId="17" fillId="0" borderId="0" xfId="0" applyNumberFormat="1" applyFont="1">
      <alignment vertical="center"/>
    </xf>
    <xf numFmtId="0" fontId="29" fillId="0" borderId="12" xfId="0" applyFont="1" applyBorder="1">
      <alignment vertical="center"/>
    </xf>
    <xf numFmtId="0" fontId="24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84" fontId="13" fillId="9" borderId="12" xfId="0" applyNumberFormat="1" applyFont="1" applyFill="1" applyBorder="1" applyAlignment="1">
      <alignment horizontal="center" vertical="center"/>
    </xf>
    <xf numFmtId="0" fontId="29" fillId="9" borderId="12" xfId="0" applyFont="1" applyFill="1" applyBorder="1">
      <alignment vertical="center"/>
    </xf>
    <xf numFmtId="0" fontId="13" fillId="9" borderId="12" xfId="0" applyFont="1" applyFill="1" applyBorder="1">
      <alignment vertical="center"/>
    </xf>
    <xf numFmtId="0" fontId="29" fillId="9" borderId="12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180" fontId="13" fillId="9" borderId="12" xfId="1" applyNumberFormat="1" applyFont="1" applyFill="1" applyBorder="1" applyAlignment="1">
      <alignment horizontal="center" vertical="center"/>
    </xf>
    <xf numFmtId="180" fontId="24" fillId="9" borderId="12" xfId="1" applyNumberFormat="1" applyFont="1" applyFill="1" applyBorder="1" applyAlignment="1">
      <alignment horizontal="center" vertical="center"/>
    </xf>
    <xf numFmtId="180" fontId="29" fillId="9" borderId="12" xfId="1" applyNumberFormat="1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left" vertical="center"/>
    </xf>
    <xf numFmtId="0" fontId="29" fillId="3" borderId="12" xfId="0" applyFont="1" applyFill="1" applyBorder="1">
      <alignment vertical="center"/>
    </xf>
    <xf numFmtId="180" fontId="24" fillId="3" borderId="12" xfId="1" applyNumberFormat="1" applyFont="1" applyFill="1" applyBorder="1" applyAlignment="1">
      <alignment horizontal="center" vertical="center"/>
    </xf>
    <xf numFmtId="180" fontId="29" fillId="3" borderId="12" xfId="1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178" fontId="29" fillId="0" borderId="0" xfId="0" applyNumberFormat="1" applyFont="1">
      <alignment vertical="center"/>
    </xf>
    <xf numFmtId="0" fontId="48" fillId="0" borderId="0" xfId="0" applyFont="1">
      <alignment vertical="center"/>
    </xf>
    <xf numFmtId="184" fontId="13" fillId="0" borderId="12" xfId="0" applyNumberFormat="1" applyFont="1" applyBorder="1" applyAlignment="1">
      <alignment horizontal="left" vertical="center"/>
    </xf>
    <xf numFmtId="182" fontId="29" fillId="3" borderId="12" xfId="0" applyNumberFormat="1" applyFont="1" applyFill="1" applyBorder="1" applyAlignment="1">
      <alignment horizontal="center" vertical="center"/>
    </xf>
    <xf numFmtId="182" fontId="13" fillId="0" borderId="12" xfId="0" applyNumberFormat="1" applyFont="1" applyBorder="1" applyAlignment="1">
      <alignment horizontal="center" vertical="center"/>
    </xf>
    <xf numFmtId="0" fontId="13" fillId="3" borderId="14" xfId="0" applyFont="1" applyFill="1" applyBorder="1">
      <alignment vertical="center"/>
    </xf>
    <xf numFmtId="184" fontId="13" fillId="0" borderId="15" xfId="0" applyNumberFormat="1" applyFont="1" applyBorder="1" applyAlignment="1">
      <alignment horizontal="center" vertical="center"/>
    </xf>
    <xf numFmtId="184" fontId="13" fillId="0" borderId="14" xfId="0" applyNumberFormat="1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180" fontId="40" fillId="0" borderId="0" xfId="1" applyNumberFormat="1" applyFont="1" applyAlignment="1">
      <alignment horizontal="center" vertical="center"/>
    </xf>
    <xf numFmtId="41" fontId="40" fillId="0" borderId="0" xfId="1" applyFont="1" applyAlignment="1">
      <alignment horizontal="center" vertical="center"/>
    </xf>
    <xf numFmtId="0" fontId="40" fillId="0" borderId="0" xfId="1" applyNumberFormat="1" applyFont="1" applyAlignment="1">
      <alignment horizontal="center" vertical="center"/>
    </xf>
    <xf numFmtId="0" fontId="49" fillId="0" borderId="0" xfId="0" applyFont="1">
      <alignment vertical="center"/>
    </xf>
    <xf numFmtId="180" fontId="50" fillId="4" borderId="12" xfId="1" applyNumberFormat="1" applyFont="1" applyFill="1" applyBorder="1">
      <alignment vertical="center"/>
    </xf>
    <xf numFmtId="184" fontId="29" fillId="0" borderId="14" xfId="0" applyNumberFormat="1" applyFont="1" applyBorder="1" applyAlignment="1">
      <alignment horizontal="left" vertical="center"/>
    </xf>
    <xf numFmtId="0" fontId="51" fillId="0" borderId="0" xfId="0" applyFont="1">
      <alignment vertical="center"/>
    </xf>
    <xf numFmtId="180" fontId="29" fillId="0" borderId="0" xfId="1" applyNumberFormat="1" applyFont="1" applyFill="1">
      <alignment vertical="center"/>
    </xf>
    <xf numFmtId="0" fontId="31" fillId="0" borderId="0" xfId="3">
      <alignment vertical="center"/>
    </xf>
    <xf numFmtId="0" fontId="45" fillId="0" borderId="0" xfId="3" applyFont="1" applyAlignment="1">
      <alignment horizontal="left" vertical="center"/>
    </xf>
    <xf numFmtId="0" fontId="13" fillId="0" borderId="0" xfId="3" applyFont="1">
      <alignment vertical="center"/>
    </xf>
    <xf numFmtId="0" fontId="29" fillId="0" borderId="13" xfId="3" applyFont="1" applyBorder="1" applyAlignment="1">
      <alignment horizontal="center" vertical="center"/>
    </xf>
    <xf numFmtId="185" fontId="13" fillId="0" borderId="29" xfId="3" applyNumberFormat="1" applyFont="1" applyBorder="1">
      <alignment vertical="center"/>
    </xf>
    <xf numFmtId="0" fontId="13" fillId="0" borderId="2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3" fillId="0" borderId="29" xfId="3" applyFont="1" applyBorder="1">
      <alignment vertical="center"/>
    </xf>
    <xf numFmtId="185" fontId="13" fillId="0" borderId="13" xfId="3" applyNumberFormat="1" applyFont="1" applyBorder="1">
      <alignment vertical="center"/>
    </xf>
    <xf numFmtId="185" fontId="13" fillId="0" borderId="32" xfId="3" applyNumberFormat="1" applyFont="1" applyBorder="1">
      <alignment vertical="center"/>
    </xf>
    <xf numFmtId="0" fontId="13" fillId="0" borderId="0" xfId="3" applyFont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185" fontId="13" fillId="0" borderId="1" xfId="3" applyNumberFormat="1" applyFont="1" applyBorder="1" applyAlignment="1">
      <alignment horizontal="center" vertical="center"/>
    </xf>
    <xf numFmtId="0" fontId="31" fillId="0" borderId="1" xfId="3" applyBorder="1">
      <alignment vertical="center"/>
    </xf>
    <xf numFmtId="0" fontId="13" fillId="8" borderId="21" xfId="0" applyFont="1" applyFill="1" applyBorder="1">
      <alignment vertical="center"/>
    </xf>
    <xf numFmtId="0" fontId="13" fillId="8" borderId="24" xfId="0" applyFont="1" applyFill="1" applyBorder="1">
      <alignment vertical="center"/>
    </xf>
    <xf numFmtId="185" fontId="21" fillId="0" borderId="12" xfId="0" applyNumberFormat="1" applyFont="1" applyBorder="1" applyAlignment="1">
      <alignment horizontal="center" vertical="center"/>
    </xf>
    <xf numFmtId="180" fontId="24" fillId="0" borderId="12" xfId="1" applyNumberFormat="1" applyFont="1" applyBorder="1" applyAlignment="1">
      <alignment horizontal="center" vertical="center"/>
    </xf>
    <xf numFmtId="180" fontId="0" fillId="0" borderId="12" xfId="1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178" fontId="22" fillId="0" borderId="0" xfId="0" applyNumberFormat="1" applyFont="1">
      <alignment vertical="center"/>
    </xf>
    <xf numFmtId="0" fontId="52" fillId="0" borderId="0" xfId="0" applyFont="1">
      <alignment vertical="center"/>
    </xf>
    <xf numFmtId="0" fontId="34" fillId="2" borderId="1" xfId="3" applyFont="1" applyFill="1" applyBorder="1" applyAlignment="1">
      <alignment horizontal="center" vertical="center"/>
    </xf>
    <xf numFmtId="41" fontId="17" fillId="0" borderId="0" xfId="0" applyNumberFormat="1" applyFont="1">
      <alignment vertical="center"/>
    </xf>
    <xf numFmtId="186" fontId="13" fillId="0" borderId="30" xfId="3" applyNumberFormat="1" applyFont="1" applyBorder="1">
      <alignment vertical="center"/>
    </xf>
    <xf numFmtId="41" fontId="13" fillId="0" borderId="29" xfId="4" applyFont="1" applyFill="1" applyBorder="1">
      <alignment vertical="center"/>
    </xf>
    <xf numFmtId="186" fontId="13" fillId="0" borderId="31" xfId="3" applyNumberFormat="1" applyFont="1" applyBorder="1">
      <alignment vertical="center"/>
    </xf>
    <xf numFmtId="185" fontId="24" fillId="0" borderId="12" xfId="0" applyNumberFormat="1" applyFont="1" applyBorder="1" applyAlignment="1">
      <alignment horizontal="center" vertical="center"/>
    </xf>
    <xf numFmtId="0" fontId="29" fillId="3" borderId="15" xfId="0" applyFont="1" applyFill="1" applyBorder="1">
      <alignment vertical="center"/>
    </xf>
    <xf numFmtId="180" fontId="29" fillId="4" borderId="12" xfId="1" applyNumberFormat="1" applyFont="1" applyFill="1" applyBorder="1">
      <alignment vertical="center"/>
    </xf>
    <xf numFmtId="184" fontId="29" fillId="0" borderId="12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184" fontId="29" fillId="0" borderId="15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/>
    </xf>
    <xf numFmtId="180" fontId="29" fillId="9" borderId="12" xfId="1" applyNumberFormat="1" applyFont="1" applyFill="1" applyBorder="1">
      <alignment vertical="center"/>
    </xf>
    <xf numFmtId="185" fontId="24" fillId="3" borderId="12" xfId="0" applyNumberFormat="1" applyFont="1" applyFill="1" applyBorder="1" applyAlignment="1">
      <alignment horizontal="center" vertical="center"/>
    </xf>
    <xf numFmtId="180" fontId="29" fillId="3" borderId="12" xfId="1" applyNumberFormat="1" applyFont="1" applyFill="1" applyBorder="1">
      <alignment vertical="center"/>
    </xf>
    <xf numFmtId="184" fontId="29" fillId="3" borderId="12" xfId="0" applyNumberFormat="1" applyFont="1" applyFill="1" applyBorder="1" applyAlignment="1">
      <alignment horizontal="center" vertical="center"/>
    </xf>
    <xf numFmtId="41" fontId="0" fillId="0" borderId="0" xfId="1" applyFont="1" applyFill="1">
      <alignment vertical="center"/>
    </xf>
    <xf numFmtId="4" fontId="21" fillId="0" borderId="0" xfId="0" applyNumberFormat="1" applyFont="1">
      <alignment vertical="center"/>
    </xf>
    <xf numFmtId="180" fontId="0" fillId="0" borderId="0" xfId="1" applyNumberFormat="1" applyFont="1" applyFill="1">
      <alignment vertical="center"/>
    </xf>
    <xf numFmtId="41" fontId="22" fillId="6" borderId="0" xfId="1" applyFont="1" applyFill="1" applyAlignment="1">
      <alignment horizontal="center" vertical="center"/>
    </xf>
    <xf numFmtId="41" fontId="22" fillId="0" borderId="0" xfId="1" applyFont="1" applyAlignment="1">
      <alignment vertical="center"/>
    </xf>
    <xf numFmtId="180" fontId="17" fillId="9" borderId="12" xfId="1" applyNumberFormat="1" applyFont="1" applyFill="1" applyBorder="1">
      <alignment vertical="center"/>
    </xf>
    <xf numFmtId="184" fontId="17" fillId="0" borderId="12" xfId="0" applyNumberFormat="1" applyFont="1" applyBorder="1" applyAlignment="1">
      <alignment horizontal="center" vertical="center"/>
    </xf>
    <xf numFmtId="180" fontId="17" fillId="0" borderId="12" xfId="1" applyNumberFormat="1" applyFont="1" applyFill="1" applyBorder="1" applyAlignment="1">
      <alignment horizontal="center" vertical="center"/>
    </xf>
    <xf numFmtId="180" fontId="20" fillId="0" borderId="12" xfId="1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84" fontId="29" fillId="0" borderId="12" xfId="0" applyNumberFormat="1" applyFont="1" applyBorder="1" applyAlignment="1">
      <alignment horizontal="left" vertical="center"/>
    </xf>
    <xf numFmtId="178" fontId="21" fillId="0" borderId="12" xfId="0" applyNumberFormat="1" applyFont="1" applyBorder="1" applyAlignment="1">
      <alignment horizontal="center" vertical="center"/>
    </xf>
    <xf numFmtId="178" fontId="13" fillId="0" borderId="12" xfId="0" applyNumberFormat="1" applyFont="1" applyBorder="1" applyAlignment="1">
      <alignment horizontal="center" vertical="center"/>
    </xf>
    <xf numFmtId="184" fontId="24" fillId="11" borderId="12" xfId="0" applyNumberFormat="1" applyFont="1" applyFill="1" applyBorder="1" applyAlignment="1">
      <alignment horizontal="center" vertical="center"/>
    </xf>
    <xf numFmtId="0" fontId="29" fillId="11" borderId="12" xfId="0" applyFont="1" applyFill="1" applyBorder="1">
      <alignment vertical="center"/>
    </xf>
    <xf numFmtId="182" fontId="29" fillId="11" borderId="12" xfId="0" applyNumberFormat="1" applyFont="1" applyFill="1" applyBorder="1" applyAlignment="1">
      <alignment horizontal="center" vertical="center"/>
    </xf>
    <xf numFmtId="178" fontId="21" fillId="11" borderId="12" xfId="0" applyNumberFormat="1" applyFont="1" applyFill="1" applyBorder="1" applyAlignment="1">
      <alignment horizontal="center" vertical="center"/>
    </xf>
    <xf numFmtId="180" fontId="29" fillId="11" borderId="12" xfId="1" applyNumberFormat="1" applyFont="1" applyFill="1" applyBorder="1" applyAlignment="1">
      <alignment horizontal="center" vertical="center"/>
    </xf>
    <xf numFmtId="180" fontId="24" fillId="11" borderId="12" xfId="1" applyNumberFormat="1" applyFont="1" applyFill="1" applyBorder="1" applyAlignment="1">
      <alignment horizontal="center" vertical="center"/>
    </xf>
    <xf numFmtId="180" fontId="29" fillId="11" borderId="12" xfId="1" applyNumberFormat="1" applyFont="1" applyFill="1" applyBorder="1">
      <alignment vertical="center"/>
    </xf>
    <xf numFmtId="184" fontId="29" fillId="11" borderId="12" xfId="0" applyNumberFormat="1" applyFont="1" applyFill="1" applyBorder="1" applyAlignment="1">
      <alignment horizontal="center" vertical="center"/>
    </xf>
    <xf numFmtId="43" fontId="13" fillId="0" borderId="12" xfId="0" applyNumberFormat="1" applyFont="1" applyBorder="1" applyAlignment="1">
      <alignment horizontal="center" vertical="center"/>
    </xf>
    <xf numFmtId="0" fontId="17" fillId="0" borderId="0" xfId="1" applyNumberFormat="1" applyFont="1" applyFill="1">
      <alignment vertical="center"/>
    </xf>
    <xf numFmtId="0" fontId="29" fillId="0" borderId="0" xfId="1" applyNumberFormat="1" applyFont="1" applyFill="1">
      <alignment vertical="center"/>
    </xf>
    <xf numFmtId="43" fontId="13" fillId="15" borderId="0" xfId="0" applyNumberFormat="1" applyFont="1" applyFill="1">
      <alignment vertical="center"/>
    </xf>
    <xf numFmtId="4" fontId="13" fillId="0" borderId="36" xfId="0" applyNumberFormat="1" applyFont="1" applyBorder="1">
      <alignment vertical="center"/>
    </xf>
    <xf numFmtId="0" fontId="13" fillId="0" borderId="36" xfId="0" applyFont="1" applyBorder="1">
      <alignment vertical="center"/>
    </xf>
    <xf numFmtId="180" fontId="13" fillId="0" borderId="36" xfId="1" applyNumberFormat="1" applyFont="1" applyBorder="1">
      <alignment vertical="center"/>
    </xf>
    <xf numFmtId="0" fontId="22" fillId="2" borderId="41" xfId="2" applyFont="1" applyFill="1" applyBorder="1" applyAlignment="1">
      <alignment horizontal="center" vertical="center"/>
    </xf>
    <xf numFmtId="184" fontId="13" fillId="0" borderId="40" xfId="0" applyNumberFormat="1" applyFont="1" applyBorder="1" applyAlignment="1">
      <alignment horizontal="center" vertical="center"/>
    </xf>
    <xf numFmtId="180" fontId="13" fillId="0" borderId="41" xfId="1" applyNumberFormat="1" applyFont="1" applyBorder="1">
      <alignment vertical="center"/>
    </xf>
    <xf numFmtId="184" fontId="13" fillId="0" borderId="42" xfId="0" applyNumberFormat="1" applyFont="1" applyBorder="1" applyAlignment="1">
      <alignment horizontal="center" vertical="center"/>
    </xf>
    <xf numFmtId="180" fontId="13" fillId="0" borderId="43" xfId="1" applyNumberFormat="1" applyFont="1" applyBorder="1">
      <alignment vertical="center"/>
    </xf>
    <xf numFmtId="14" fontId="29" fillId="7" borderId="40" xfId="2" applyNumberFormat="1" applyFont="1" applyFill="1" applyBorder="1" applyAlignment="1">
      <alignment horizontal="center" vertical="center"/>
    </xf>
    <xf numFmtId="180" fontId="41" fillId="7" borderId="41" xfId="2" applyNumberFormat="1" applyFont="1" applyFill="1" applyBorder="1" applyAlignment="1">
      <alignment vertical="center"/>
    </xf>
    <xf numFmtId="180" fontId="13" fillId="0" borderId="0" xfId="1" applyNumberFormat="1" applyFont="1" applyBorder="1">
      <alignment vertical="center"/>
    </xf>
    <xf numFmtId="184" fontId="13" fillId="0" borderId="44" xfId="0" applyNumberFormat="1" applyFont="1" applyBorder="1" applyAlignment="1">
      <alignment horizontal="center" vertical="center"/>
    </xf>
    <xf numFmtId="4" fontId="13" fillId="0" borderId="45" xfId="0" applyNumberFormat="1" applyFont="1" applyBorder="1">
      <alignment vertical="center"/>
    </xf>
    <xf numFmtId="0" fontId="13" fillId="0" borderId="45" xfId="0" applyFont="1" applyBorder="1">
      <alignment vertical="center"/>
    </xf>
    <xf numFmtId="180" fontId="13" fillId="0" borderId="45" xfId="1" applyNumberFormat="1" applyFont="1" applyFill="1" applyBorder="1" applyAlignment="1">
      <alignment horizontal="center" vertical="center"/>
    </xf>
    <xf numFmtId="180" fontId="13" fillId="0" borderId="45" xfId="1" applyNumberFormat="1" applyFont="1" applyBorder="1">
      <alignment vertical="center"/>
    </xf>
    <xf numFmtId="180" fontId="13" fillId="0" borderId="46" xfId="1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85" fontId="1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4" fontId="21" fillId="17" borderId="12" xfId="0" applyNumberFormat="1" applyFont="1" applyFill="1" applyBorder="1" applyAlignment="1">
      <alignment horizontal="center" vertical="center"/>
    </xf>
    <xf numFmtId="184" fontId="29" fillId="17" borderId="12" xfId="0" applyNumberFormat="1" applyFont="1" applyFill="1" applyBorder="1" applyAlignment="1">
      <alignment horizontal="left" vertical="center"/>
    </xf>
    <xf numFmtId="184" fontId="29" fillId="17" borderId="12" xfId="0" applyNumberFormat="1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180" fontId="29" fillId="17" borderId="12" xfId="1" applyNumberFormat="1" applyFont="1" applyFill="1" applyBorder="1" applyAlignment="1">
      <alignment horizontal="center" vertical="center"/>
    </xf>
    <xf numFmtId="180" fontId="24" fillId="17" borderId="12" xfId="1" applyNumberFormat="1" applyFont="1" applyFill="1" applyBorder="1" applyAlignment="1">
      <alignment horizontal="center" vertical="center"/>
    </xf>
    <xf numFmtId="180" fontId="29" fillId="17" borderId="12" xfId="1" applyNumberFormat="1" applyFont="1" applyFill="1" applyBorder="1">
      <alignment vertical="center"/>
    </xf>
    <xf numFmtId="180" fontId="29" fillId="18" borderId="12" xfId="1" applyNumberFormat="1" applyFont="1" applyFill="1" applyBorder="1">
      <alignment vertical="center"/>
    </xf>
    <xf numFmtId="180" fontId="13" fillId="18" borderId="36" xfId="1" applyNumberFormat="1" applyFont="1" applyFill="1" applyBorder="1">
      <alignment vertical="center"/>
    </xf>
    <xf numFmtId="184" fontId="13" fillId="0" borderId="47" xfId="0" applyNumberFormat="1" applyFont="1" applyBorder="1" applyAlignment="1">
      <alignment horizontal="center" vertical="center"/>
    </xf>
    <xf numFmtId="180" fontId="13" fillId="0" borderId="48" xfId="1" applyNumberFormat="1" applyFont="1" applyBorder="1">
      <alignment vertical="center"/>
    </xf>
    <xf numFmtId="183" fontId="29" fillId="11" borderId="12" xfId="1" applyNumberFormat="1" applyFont="1" applyFill="1" applyBorder="1" applyAlignment="1">
      <alignment horizontal="center" vertical="center"/>
    </xf>
    <xf numFmtId="0" fontId="22" fillId="6" borderId="0" xfId="0" applyFont="1" applyFill="1">
      <alignment vertical="center"/>
    </xf>
    <xf numFmtId="184" fontId="57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41" fontId="13" fillId="0" borderId="0" xfId="0" applyNumberFormat="1" applyFont="1">
      <alignment vertical="center"/>
    </xf>
    <xf numFmtId="0" fontId="34" fillId="2" borderId="1" xfId="0" applyFont="1" applyFill="1" applyBorder="1" applyAlignment="1">
      <alignment horizontal="center" vertical="center"/>
    </xf>
    <xf numFmtId="0" fontId="58" fillId="0" borderId="12" xfId="0" applyFont="1" applyBorder="1" applyAlignment="1">
      <alignment horizontal="left" vertical="center"/>
    </xf>
    <xf numFmtId="184" fontId="59" fillId="0" borderId="12" xfId="0" applyNumberFormat="1" applyFont="1" applyBorder="1" applyAlignment="1">
      <alignment horizontal="center" vertical="center"/>
    </xf>
    <xf numFmtId="14" fontId="29" fillId="19" borderId="42" xfId="2" applyNumberFormat="1" applyFont="1" applyFill="1" applyBorder="1" applyAlignment="1">
      <alignment horizontal="center" vertical="center"/>
    </xf>
    <xf numFmtId="0" fontId="29" fillId="19" borderId="20" xfId="2" applyFont="1" applyFill="1" applyBorder="1" applyAlignment="1">
      <alignment horizontal="center" vertical="center"/>
    </xf>
    <xf numFmtId="180" fontId="29" fillId="5" borderId="12" xfId="1" applyNumberFormat="1" applyFont="1" applyFill="1" applyBorder="1">
      <alignment vertical="center"/>
    </xf>
    <xf numFmtId="0" fontId="58" fillId="0" borderId="12" xfId="0" applyFont="1" applyBorder="1">
      <alignment vertical="center"/>
    </xf>
    <xf numFmtId="184" fontId="29" fillId="0" borderId="14" xfId="0" applyNumberFormat="1" applyFont="1" applyBorder="1">
      <alignment vertical="center"/>
    </xf>
    <xf numFmtId="184" fontId="29" fillId="0" borderId="14" xfId="0" applyNumberFormat="1" applyFont="1" applyBorder="1" applyAlignment="1">
      <alignment vertical="center" wrapText="1"/>
    </xf>
    <xf numFmtId="184" fontId="21" fillId="14" borderId="12" xfId="0" applyNumberFormat="1" applyFont="1" applyFill="1" applyBorder="1" applyAlignment="1">
      <alignment horizontal="center" vertical="center"/>
    </xf>
    <xf numFmtId="184" fontId="29" fillId="14" borderId="12" xfId="0" applyNumberFormat="1" applyFont="1" applyFill="1" applyBorder="1" applyAlignment="1">
      <alignment horizontal="left" vertical="center"/>
    </xf>
    <xf numFmtId="184" fontId="29" fillId="14" borderId="12" xfId="0" applyNumberFormat="1" applyFont="1" applyFill="1" applyBorder="1" applyAlignment="1">
      <alignment horizontal="center" vertical="center"/>
    </xf>
    <xf numFmtId="178" fontId="13" fillId="14" borderId="12" xfId="0" applyNumberFormat="1" applyFont="1" applyFill="1" applyBorder="1" applyAlignment="1">
      <alignment horizontal="center" vertical="center"/>
    </xf>
    <xf numFmtId="180" fontId="29" fillId="14" borderId="12" xfId="1" applyNumberFormat="1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85" fontId="13" fillId="0" borderId="1" xfId="0" applyNumberFormat="1" applyFont="1" applyBorder="1">
      <alignment vertical="center"/>
    </xf>
    <xf numFmtId="186" fontId="13" fillId="0" borderId="1" xfId="0" applyNumberFormat="1" applyFont="1" applyBorder="1">
      <alignment vertical="center"/>
    </xf>
    <xf numFmtId="41" fontId="13" fillId="0" borderId="1" xfId="4" applyFont="1" applyFill="1" applyBorder="1">
      <alignment vertical="center"/>
    </xf>
    <xf numFmtId="41" fontId="13" fillId="0" borderId="0" xfId="1" applyFont="1">
      <alignment vertical="center"/>
    </xf>
    <xf numFmtId="43" fontId="29" fillId="19" borderId="20" xfId="4" applyNumberFormat="1" applyFont="1" applyFill="1" applyBorder="1" applyAlignment="1">
      <alignment vertical="center"/>
    </xf>
    <xf numFmtId="178" fontId="29" fillId="19" borderId="20" xfId="4" applyNumberFormat="1" applyFont="1" applyFill="1" applyBorder="1" applyAlignment="1">
      <alignment vertical="center"/>
    </xf>
    <xf numFmtId="180" fontId="41" fillId="19" borderId="20" xfId="4" applyNumberFormat="1" applyFont="1" applyFill="1" applyBorder="1" applyAlignment="1">
      <alignment vertical="center"/>
    </xf>
    <xf numFmtId="182" fontId="29" fillId="19" borderId="20" xfId="2" applyNumberFormat="1" applyFont="1" applyFill="1" applyBorder="1" applyAlignment="1">
      <alignment vertical="center"/>
    </xf>
    <xf numFmtId="180" fontId="41" fillId="19" borderId="43" xfId="2" applyNumberFormat="1" applyFont="1" applyFill="1" applyBorder="1" applyAlignment="1">
      <alignment vertical="center"/>
    </xf>
    <xf numFmtId="184" fontId="13" fillId="0" borderId="49" xfId="0" applyNumberFormat="1" applyFont="1" applyBorder="1" applyAlignment="1">
      <alignment horizontal="center" vertical="center"/>
    </xf>
    <xf numFmtId="180" fontId="13" fillId="0" borderId="50" xfId="1" applyNumberFormat="1" applyFont="1" applyBorder="1">
      <alignment vertical="center"/>
    </xf>
    <xf numFmtId="0" fontId="13" fillId="0" borderId="49" xfId="0" applyFont="1" applyBorder="1">
      <alignment vertical="center"/>
    </xf>
    <xf numFmtId="14" fontId="29" fillId="19" borderId="51" xfId="2" applyNumberFormat="1" applyFont="1" applyFill="1" applyBorder="1" applyAlignment="1">
      <alignment horizontal="center" vertical="center"/>
    </xf>
    <xf numFmtId="0" fontId="29" fillId="19" borderId="52" xfId="2" applyFont="1" applyFill="1" applyBorder="1" applyAlignment="1">
      <alignment horizontal="center" vertical="center"/>
    </xf>
    <xf numFmtId="43" fontId="29" fillId="19" borderId="52" xfId="4" applyNumberFormat="1" applyFont="1" applyFill="1" applyBorder="1" applyAlignment="1">
      <alignment vertical="center"/>
    </xf>
    <xf numFmtId="178" fontId="29" fillId="19" borderId="52" xfId="4" applyNumberFormat="1" applyFont="1" applyFill="1" applyBorder="1" applyAlignment="1">
      <alignment vertical="center"/>
    </xf>
    <xf numFmtId="180" fontId="41" fillId="19" borderId="52" xfId="4" applyNumberFormat="1" applyFont="1" applyFill="1" applyBorder="1" applyAlignment="1">
      <alignment vertical="center"/>
    </xf>
    <xf numFmtId="182" fontId="29" fillId="19" borderId="52" xfId="2" applyNumberFormat="1" applyFont="1" applyFill="1" applyBorder="1" applyAlignment="1">
      <alignment vertical="center"/>
    </xf>
    <xf numFmtId="180" fontId="41" fillId="19" borderId="53" xfId="2" applyNumberFormat="1" applyFont="1" applyFill="1" applyBorder="1" applyAlignment="1">
      <alignment vertical="center"/>
    </xf>
    <xf numFmtId="184" fontId="13" fillId="0" borderId="54" xfId="0" applyNumberFormat="1" applyFont="1" applyBorder="1" applyAlignment="1">
      <alignment horizontal="center" vertical="center"/>
    </xf>
    <xf numFmtId="180" fontId="21" fillId="0" borderId="36" xfId="1" applyNumberFormat="1" applyFont="1" applyBorder="1">
      <alignment vertical="center"/>
    </xf>
    <xf numFmtId="180" fontId="13" fillId="0" borderId="55" xfId="1" applyNumberFormat="1" applyFont="1" applyBorder="1">
      <alignment vertical="center"/>
    </xf>
    <xf numFmtId="3" fontId="53" fillId="20" borderId="56" xfId="0" applyNumberFormat="1" applyFont="1" applyFill="1" applyBorder="1" applyAlignment="1">
      <alignment horizontal="right" vertical="center"/>
    </xf>
    <xf numFmtId="9" fontId="53" fillId="20" borderId="56" xfId="134" applyFont="1" applyFill="1" applyBorder="1" applyAlignment="1">
      <alignment horizontal="right" vertical="center"/>
    </xf>
    <xf numFmtId="0" fontId="17" fillId="0" borderId="12" xfId="0" applyFont="1" applyBorder="1" applyAlignment="1">
      <alignment horizontal="center" vertical="center"/>
    </xf>
    <xf numFmtId="180" fontId="34" fillId="2" borderId="9" xfId="1" applyNumberFormat="1" applyFont="1" applyFill="1" applyBorder="1">
      <alignment vertical="center"/>
    </xf>
    <xf numFmtId="41" fontId="34" fillId="2" borderId="9" xfId="1" applyFont="1" applyFill="1" applyBorder="1">
      <alignment vertical="center"/>
    </xf>
    <xf numFmtId="180" fontId="40" fillId="0" borderId="0" xfId="1" applyNumberFormat="1" applyFont="1" applyBorder="1" applyAlignment="1">
      <alignment horizontal="center" vertical="center"/>
    </xf>
    <xf numFmtId="41" fontId="40" fillId="0" borderId="0" xfId="1" applyFont="1" applyBorder="1" applyAlignment="1">
      <alignment horizontal="center" vertical="center"/>
    </xf>
    <xf numFmtId="41" fontId="13" fillId="0" borderId="0" xfId="1" applyFont="1" applyBorder="1">
      <alignment vertical="center"/>
    </xf>
    <xf numFmtId="43" fontId="22" fillId="2" borderId="12" xfId="4" applyNumberFormat="1" applyFont="1" applyFill="1" applyBorder="1" applyAlignment="1">
      <alignment horizontal="center" vertical="center"/>
    </xf>
    <xf numFmtId="41" fontId="60" fillId="0" borderId="12" xfId="4" applyFont="1" applyFill="1" applyBorder="1" applyAlignment="1">
      <alignment horizontal="center" vertical="center"/>
    </xf>
    <xf numFmtId="41" fontId="60" fillId="14" borderId="12" xfId="4" applyFont="1" applyFill="1" applyBorder="1" applyAlignment="1">
      <alignment horizontal="center" vertical="center"/>
    </xf>
    <xf numFmtId="9" fontId="60" fillId="0" borderId="12" xfId="4" applyNumberFormat="1" applyFont="1" applyFill="1" applyBorder="1" applyAlignment="1">
      <alignment horizontal="center" vertical="center"/>
    </xf>
    <xf numFmtId="41" fontId="60" fillId="21" borderId="12" xfId="4" applyFont="1" applyFill="1" applyBorder="1" applyAlignment="1">
      <alignment horizontal="center" vertical="center"/>
    </xf>
    <xf numFmtId="180" fontId="13" fillId="0" borderId="30" xfId="3" applyNumberFormat="1" applyFont="1" applyBorder="1">
      <alignment vertical="center"/>
    </xf>
    <xf numFmtId="180" fontId="13" fillId="0" borderId="31" xfId="3" applyNumberFormat="1" applyFont="1" applyBorder="1">
      <alignment vertical="center"/>
    </xf>
    <xf numFmtId="14" fontId="29" fillId="19" borderId="57" xfId="2" applyNumberFormat="1" applyFont="1" applyFill="1" applyBorder="1" applyAlignment="1">
      <alignment horizontal="center" vertical="center"/>
    </xf>
    <xf numFmtId="4" fontId="21" fillId="0" borderId="12" xfId="0" applyNumberFormat="1" applyFont="1" applyBorder="1">
      <alignment vertical="center"/>
    </xf>
    <xf numFmtId="184" fontId="21" fillId="11" borderId="12" xfId="0" applyNumberFormat="1" applyFont="1" applyFill="1" applyBorder="1" applyAlignment="1">
      <alignment horizontal="center" vertical="center"/>
    </xf>
    <xf numFmtId="184" fontId="29" fillId="11" borderId="12" xfId="0" applyNumberFormat="1" applyFont="1" applyFill="1" applyBorder="1" applyAlignment="1">
      <alignment horizontal="left" vertical="center"/>
    </xf>
    <xf numFmtId="178" fontId="13" fillId="11" borderId="12" xfId="0" applyNumberFormat="1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180" fontId="41" fillId="19" borderId="58" xfId="2" applyNumberFormat="1" applyFont="1" applyFill="1" applyBorder="1" applyAlignment="1">
      <alignment vertical="center"/>
    </xf>
    <xf numFmtId="184" fontId="13" fillId="0" borderId="59" xfId="0" applyNumberFormat="1" applyFont="1" applyBorder="1" applyAlignment="1">
      <alignment horizontal="center" vertical="center"/>
    </xf>
    <xf numFmtId="4" fontId="21" fillId="0" borderId="60" xfId="0" applyNumberFormat="1" applyFont="1" applyBorder="1">
      <alignment vertical="center"/>
    </xf>
    <xf numFmtId="0" fontId="13" fillId="0" borderId="60" xfId="0" applyFont="1" applyBorder="1">
      <alignment vertical="center"/>
    </xf>
    <xf numFmtId="180" fontId="21" fillId="0" borderId="60" xfId="1" applyNumberFormat="1" applyFont="1" applyBorder="1">
      <alignment vertical="center"/>
    </xf>
    <xf numFmtId="180" fontId="13" fillId="0" borderId="60" xfId="1" applyNumberFormat="1" applyFont="1" applyBorder="1">
      <alignment vertical="center"/>
    </xf>
    <xf numFmtId="180" fontId="13" fillId="0" borderId="61" xfId="1" applyNumberFormat="1" applyFont="1" applyBorder="1">
      <alignment vertical="center"/>
    </xf>
    <xf numFmtId="182" fontId="29" fillId="0" borderId="12" xfId="0" applyNumberFormat="1" applyFont="1" applyBorder="1" applyAlignment="1">
      <alignment horizontal="center" vertical="center"/>
    </xf>
    <xf numFmtId="43" fontId="29" fillId="0" borderId="0" xfId="0" applyNumberFormat="1" applyFont="1">
      <alignment vertical="center"/>
    </xf>
    <xf numFmtId="180" fontId="61" fillId="5" borderId="12" xfId="1" applyNumberFormat="1" applyFont="1" applyFill="1" applyBorder="1">
      <alignment vertical="center"/>
    </xf>
    <xf numFmtId="0" fontId="62" fillId="0" borderId="12" xfId="0" applyFont="1" applyBorder="1" applyAlignment="1">
      <alignment horizontal="center" vertical="center"/>
    </xf>
    <xf numFmtId="184" fontId="21" fillId="9" borderId="12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left" vertical="center"/>
    </xf>
    <xf numFmtId="184" fontId="29" fillId="9" borderId="12" xfId="0" applyNumberFormat="1" applyFont="1" applyFill="1" applyBorder="1" applyAlignment="1">
      <alignment horizontal="left" vertical="center"/>
    </xf>
    <xf numFmtId="182" fontId="29" fillId="9" borderId="12" xfId="0" applyNumberFormat="1" applyFont="1" applyFill="1" applyBorder="1" applyAlignment="1">
      <alignment horizontal="center" vertical="center"/>
    </xf>
    <xf numFmtId="184" fontId="29" fillId="9" borderId="12" xfId="0" applyNumberFormat="1" applyFont="1" applyFill="1" applyBorder="1" applyAlignment="1">
      <alignment horizontal="center" vertical="center"/>
    </xf>
    <xf numFmtId="178" fontId="13" fillId="9" borderId="12" xfId="0" applyNumberFormat="1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180" fontId="40" fillId="0" borderId="0" xfId="1" applyNumberFormat="1" applyFont="1" applyFill="1" applyBorder="1" applyAlignment="1">
      <alignment horizontal="center" vertical="center"/>
    </xf>
    <xf numFmtId="0" fontId="40" fillId="0" borderId="0" xfId="1" applyNumberFormat="1" applyFont="1" applyFill="1" applyAlignment="1">
      <alignment horizontal="center" vertical="center"/>
    </xf>
    <xf numFmtId="41" fontId="40" fillId="0" borderId="0" xfId="1" applyFont="1" applyFill="1" applyBorder="1" applyAlignment="1">
      <alignment horizontal="center" vertical="center"/>
    </xf>
    <xf numFmtId="180" fontId="40" fillId="0" borderId="0" xfId="1" applyNumberFormat="1" applyFont="1" applyBorder="1">
      <alignment vertical="center"/>
    </xf>
    <xf numFmtId="184" fontId="13" fillId="14" borderId="49" xfId="0" applyNumberFormat="1" applyFont="1" applyFill="1" applyBorder="1" applyAlignment="1">
      <alignment horizontal="center" vertical="center"/>
    </xf>
    <xf numFmtId="180" fontId="13" fillId="14" borderId="36" xfId="1" applyNumberFormat="1" applyFont="1" applyFill="1" applyBorder="1">
      <alignment vertical="center"/>
    </xf>
    <xf numFmtId="180" fontId="13" fillId="14" borderId="55" xfId="1" applyNumberFormat="1" applyFont="1" applyFill="1" applyBorder="1">
      <alignment vertical="center"/>
    </xf>
    <xf numFmtId="14" fontId="29" fillId="19" borderId="64" xfId="2" applyNumberFormat="1" applyFont="1" applyFill="1" applyBorder="1" applyAlignment="1">
      <alignment horizontal="center" vertical="center"/>
    </xf>
    <xf numFmtId="0" fontId="29" fillId="19" borderId="65" xfId="2" applyFont="1" applyFill="1" applyBorder="1" applyAlignment="1">
      <alignment horizontal="center" vertical="center"/>
    </xf>
    <xf numFmtId="43" fontId="29" fillId="19" borderId="65" xfId="4" applyNumberFormat="1" applyFont="1" applyFill="1" applyBorder="1" applyAlignment="1">
      <alignment vertical="center"/>
    </xf>
    <xf numFmtId="178" fontId="29" fillId="19" borderId="65" xfId="4" applyNumberFormat="1" applyFont="1" applyFill="1" applyBorder="1" applyAlignment="1">
      <alignment vertical="center"/>
    </xf>
    <xf numFmtId="180" fontId="41" fillId="19" borderId="65" xfId="4" applyNumberFormat="1" applyFont="1" applyFill="1" applyBorder="1" applyAlignment="1">
      <alignment vertical="center"/>
    </xf>
    <xf numFmtId="182" fontId="29" fillId="19" borderId="65" xfId="2" applyNumberFormat="1" applyFont="1" applyFill="1" applyBorder="1" applyAlignment="1">
      <alignment vertical="center"/>
    </xf>
    <xf numFmtId="185" fontId="31" fillId="0" borderId="1" xfId="3" applyNumberFormat="1" applyBorder="1">
      <alignment vertical="center"/>
    </xf>
    <xf numFmtId="0" fontId="13" fillId="0" borderId="13" xfId="3" applyFont="1" applyBorder="1" applyAlignment="1">
      <alignment horizontal="center" vertical="center"/>
    </xf>
    <xf numFmtId="41" fontId="13" fillId="0" borderId="12" xfId="1" applyFont="1" applyBorder="1">
      <alignment vertical="center"/>
    </xf>
    <xf numFmtId="0" fontId="60" fillId="0" borderId="0" xfId="138" applyNumberFormat="1" applyFont="1" applyAlignment="1">
      <alignment vertical="center"/>
    </xf>
    <xf numFmtId="184" fontId="60" fillId="0" borderId="0" xfId="138" applyNumberFormat="1" applyFont="1" applyAlignment="1">
      <alignment horizontal="center" vertical="center"/>
    </xf>
    <xf numFmtId="187" fontId="60" fillId="0" borderId="0" xfId="138" applyFont="1" applyAlignment="1">
      <alignment horizontal="center" vertical="center"/>
    </xf>
    <xf numFmtId="179" fontId="60" fillId="0" borderId="0" xfId="138" applyNumberFormat="1" applyFont="1" applyAlignment="1">
      <alignment horizontal="center" vertical="center" shrinkToFit="1"/>
    </xf>
    <xf numFmtId="179" fontId="60" fillId="0" borderId="0" xfId="4" applyNumberFormat="1" applyFont="1" applyFill="1" applyAlignment="1">
      <alignment vertical="center"/>
    </xf>
    <xf numFmtId="188" fontId="60" fillId="0" borderId="0" xfId="4" applyNumberFormat="1" applyFont="1" applyFill="1" applyAlignment="1">
      <alignment vertical="center" shrinkToFit="1"/>
    </xf>
    <xf numFmtId="179" fontId="60" fillId="0" borderId="0" xfId="4" applyNumberFormat="1" applyFont="1" applyFill="1" applyAlignment="1">
      <alignment vertical="center" shrinkToFit="1"/>
    </xf>
    <xf numFmtId="179" fontId="60" fillId="0" borderId="0" xfId="4" applyNumberFormat="1" applyFont="1" applyFill="1" applyBorder="1" applyAlignment="1">
      <alignment vertical="center"/>
    </xf>
    <xf numFmtId="179" fontId="60" fillId="0" borderId="0" xfId="138" applyNumberFormat="1" applyFont="1" applyAlignment="1">
      <alignment vertical="center"/>
    </xf>
    <xf numFmtId="187" fontId="60" fillId="0" borderId="0" xfId="138" applyFont="1" applyAlignment="1">
      <alignment vertical="center"/>
    </xf>
    <xf numFmtId="187" fontId="60" fillId="0" borderId="0" xfId="138" applyFont="1" applyAlignment="1">
      <alignment vertical="center" shrinkToFit="1"/>
    </xf>
    <xf numFmtId="0" fontId="65" fillId="0" borderId="0" xfId="138" applyNumberFormat="1" applyFont="1" applyAlignment="1">
      <alignment vertical="center"/>
    </xf>
    <xf numFmtId="187" fontId="66" fillId="0" borderId="0" xfId="139" applyFont="1">
      <alignment vertical="center"/>
    </xf>
    <xf numFmtId="0" fontId="67" fillId="0" borderId="0" xfId="139" applyNumberFormat="1" applyFont="1">
      <alignment vertical="center"/>
    </xf>
    <xf numFmtId="184" fontId="68" fillId="0" borderId="0" xfId="139" applyNumberFormat="1" applyFont="1" applyAlignment="1">
      <alignment horizontal="left" vertical="center"/>
    </xf>
    <xf numFmtId="187" fontId="67" fillId="0" borderId="0" xfId="139" applyFont="1" applyAlignment="1">
      <alignment horizontal="left" vertical="center"/>
    </xf>
    <xf numFmtId="43" fontId="67" fillId="0" borderId="0" xfId="139" applyNumberFormat="1" applyFont="1" applyAlignment="1">
      <alignment horizontal="left" vertical="center" shrinkToFit="1"/>
    </xf>
    <xf numFmtId="187" fontId="67" fillId="0" borderId="0" xfId="139" applyFont="1">
      <alignment vertical="center"/>
    </xf>
    <xf numFmtId="43" fontId="67" fillId="0" borderId="0" xfId="139" applyNumberFormat="1" applyFont="1" applyAlignment="1">
      <alignment horizontal="left" vertical="center"/>
    </xf>
    <xf numFmtId="187" fontId="67" fillId="0" borderId="0" xfId="139" applyFont="1" applyAlignment="1">
      <alignment vertical="center" shrinkToFit="1"/>
    </xf>
    <xf numFmtId="187" fontId="70" fillId="0" borderId="0" xfId="139" applyFont="1">
      <alignment vertical="center"/>
    </xf>
    <xf numFmtId="180" fontId="67" fillId="0" borderId="0" xfId="4" applyNumberFormat="1" applyFont="1">
      <alignment vertical="center"/>
    </xf>
    <xf numFmtId="180" fontId="67" fillId="0" borderId="0" xfId="4" applyNumberFormat="1" applyFont="1" applyAlignment="1">
      <alignment vertical="center" shrinkToFit="1"/>
    </xf>
    <xf numFmtId="179" fontId="53" fillId="0" borderId="0" xfId="4" quotePrefix="1" applyNumberFormat="1" applyFont="1" applyFill="1" applyAlignment="1">
      <alignment horizontal="left" vertical="center"/>
    </xf>
    <xf numFmtId="187" fontId="67" fillId="0" borderId="0" xfId="139" applyFont="1" applyAlignment="1">
      <alignment horizontal="center" vertical="center"/>
    </xf>
    <xf numFmtId="0" fontId="71" fillId="0" borderId="0" xfId="139" applyNumberFormat="1" applyFont="1">
      <alignment vertical="center"/>
    </xf>
    <xf numFmtId="0" fontId="72" fillId="0" borderId="0" xfId="138" applyNumberFormat="1" applyFont="1" applyAlignment="1">
      <alignment vertical="center"/>
    </xf>
    <xf numFmtId="179" fontId="72" fillId="0" borderId="0" xfId="4" quotePrefix="1" applyNumberFormat="1" applyFont="1" applyFill="1" applyAlignment="1">
      <alignment horizontal="left" vertical="center"/>
    </xf>
    <xf numFmtId="179" fontId="72" fillId="0" borderId="0" xfId="4" applyNumberFormat="1" applyFont="1" applyFill="1" applyAlignment="1">
      <alignment horizontal="left" vertical="center"/>
    </xf>
    <xf numFmtId="179" fontId="72" fillId="0" borderId="0" xfId="4" applyNumberFormat="1" applyFont="1" applyFill="1" applyAlignment="1">
      <alignment horizontal="left" vertical="center" shrinkToFit="1"/>
    </xf>
    <xf numFmtId="179" fontId="72" fillId="0" borderId="0" xfId="4" applyNumberFormat="1" applyFont="1" applyFill="1" applyBorder="1" applyAlignment="1">
      <alignment horizontal="left" vertical="center"/>
    </xf>
    <xf numFmtId="179" fontId="72" fillId="0" borderId="0" xfId="138" applyNumberFormat="1" applyFont="1" applyAlignment="1">
      <alignment horizontal="left" vertical="center" shrinkToFit="1"/>
    </xf>
    <xf numFmtId="179" fontId="72" fillId="0" borderId="0" xfId="138" applyNumberFormat="1" applyFont="1" applyAlignment="1">
      <alignment horizontal="left" vertical="center"/>
    </xf>
    <xf numFmtId="0" fontId="53" fillId="0" borderId="0" xfId="138" applyNumberFormat="1" applyFont="1" applyAlignment="1">
      <alignment horizontal="left" vertical="center"/>
    </xf>
    <xf numFmtId="187" fontId="72" fillId="0" borderId="0" xfId="139" applyFont="1">
      <alignment vertical="center"/>
    </xf>
    <xf numFmtId="184" fontId="53" fillId="2" borderId="1" xfId="4" applyNumberFormat="1" applyFont="1" applyFill="1" applyBorder="1" applyAlignment="1">
      <alignment horizontal="center" vertical="center"/>
    </xf>
    <xf numFmtId="179" fontId="53" fillId="2" borderId="1" xfId="4" applyNumberFormat="1" applyFont="1" applyFill="1" applyBorder="1" applyAlignment="1">
      <alignment horizontal="center" vertical="center"/>
    </xf>
    <xf numFmtId="179" fontId="53" fillId="2" borderId="1" xfId="4" applyNumberFormat="1" applyFont="1" applyFill="1" applyBorder="1" applyAlignment="1">
      <alignment horizontal="center" vertical="center" shrinkToFit="1"/>
    </xf>
    <xf numFmtId="180" fontId="53" fillId="2" borderId="1" xfId="4" applyNumberFormat="1" applyFont="1" applyFill="1" applyBorder="1" applyAlignment="1">
      <alignment horizontal="center" vertical="center" wrapText="1"/>
    </xf>
    <xf numFmtId="179" fontId="53" fillId="2" borderId="1" xfId="4" applyNumberFormat="1" applyFont="1" applyFill="1" applyBorder="1" applyAlignment="1">
      <alignment horizontal="center" vertical="center" wrapText="1"/>
    </xf>
    <xf numFmtId="187" fontId="66" fillId="0" borderId="0" xfId="139" applyFont="1" applyAlignment="1">
      <alignment vertical="center" shrinkToFit="1"/>
    </xf>
    <xf numFmtId="180" fontId="53" fillId="2" borderId="1" xfId="4" applyNumberFormat="1" applyFont="1" applyFill="1" applyBorder="1" applyAlignment="1">
      <alignment horizontal="center" vertical="center" shrinkToFit="1"/>
    </xf>
    <xf numFmtId="0" fontId="65" fillId="0" borderId="0" xfId="138" applyNumberFormat="1" applyFont="1" applyAlignment="1">
      <alignment horizontal="left" vertical="center"/>
    </xf>
    <xf numFmtId="0" fontId="65" fillId="0" borderId="0" xfId="139" applyNumberFormat="1" applyFont="1">
      <alignment vertical="center"/>
    </xf>
    <xf numFmtId="184" fontId="66" fillId="0" borderId="1" xfId="139" applyNumberFormat="1" applyFont="1" applyBorder="1" applyAlignment="1">
      <alignment horizontal="left" vertical="center"/>
    </xf>
    <xf numFmtId="187" fontId="66" fillId="0" borderId="1" xfId="139" applyFont="1" applyBorder="1" applyAlignment="1">
      <alignment horizontal="left" vertical="center"/>
    </xf>
    <xf numFmtId="180" fontId="66" fillId="0" borderId="1" xfId="4" applyNumberFormat="1" applyFont="1" applyBorder="1" applyAlignment="1">
      <alignment vertical="center" shrinkToFit="1"/>
    </xf>
    <xf numFmtId="180" fontId="66" fillId="0" borderId="2" xfId="4" applyNumberFormat="1" applyFont="1" applyFill="1" applyBorder="1">
      <alignment vertical="center"/>
    </xf>
    <xf numFmtId="41" fontId="66" fillId="0" borderId="1" xfId="4" applyFont="1" applyBorder="1" applyAlignment="1">
      <alignment vertical="center" shrinkToFit="1"/>
    </xf>
    <xf numFmtId="187" fontId="60" fillId="0" borderId="0" xfId="4" applyNumberFormat="1" applyFont="1" applyAlignment="1">
      <alignment vertical="center" shrinkToFit="1"/>
    </xf>
    <xf numFmtId="187" fontId="66" fillId="0" borderId="1" xfId="139" applyFont="1" applyBorder="1">
      <alignment vertical="center"/>
    </xf>
    <xf numFmtId="180" fontId="66" fillId="0" borderId="1" xfId="4" applyNumberFormat="1" applyFont="1" applyBorder="1">
      <alignment vertical="center"/>
    </xf>
    <xf numFmtId="0" fontId="65" fillId="0" borderId="0" xfId="4" applyNumberFormat="1" applyFont="1" applyBorder="1">
      <alignment vertical="center"/>
    </xf>
    <xf numFmtId="187" fontId="66" fillId="0" borderId="0" xfId="4" applyNumberFormat="1" applyFont="1" applyAlignment="1">
      <alignment vertical="center" shrinkToFit="1"/>
    </xf>
    <xf numFmtId="187" fontId="73" fillId="0" borderId="0" xfId="4" applyNumberFormat="1" applyFont="1" applyAlignment="1">
      <alignment vertical="center" shrinkToFit="1"/>
    </xf>
    <xf numFmtId="187" fontId="65" fillId="0" borderId="0" xfId="4" applyNumberFormat="1" applyFont="1" applyAlignment="1">
      <alignment vertical="center" shrinkToFit="1"/>
    </xf>
    <xf numFmtId="43" fontId="65" fillId="0" borderId="0" xfId="139" applyNumberFormat="1" applyFont="1" applyAlignment="1">
      <alignment vertical="center" shrinkToFit="1"/>
    </xf>
    <xf numFmtId="187" fontId="74" fillId="3" borderId="1" xfId="139" applyFont="1" applyFill="1" applyBorder="1">
      <alignment vertical="center"/>
    </xf>
    <xf numFmtId="187" fontId="66" fillId="3" borderId="1" xfId="139" applyFont="1" applyFill="1" applyBorder="1">
      <alignment vertical="center"/>
    </xf>
    <xf numFmtId="180" fontId="66" fillId="3" borderId="1" xfId="4" applyNumberFormat="1" applyFont="1" applyFill="1" applyBorder="1" applyAlignment="1">
      <alignment vertical="center" shrinkToFit="1"/>
    </xf>
    <xf numFmtId="41" fontId="66" fillId="3" borderId="1" xfId="4" applyFont="1" applyFill="1" applyBorder="1" applyAlignment="1">
      <alignment vertical="center" shrinkToFit="1"/>
    </xf>
    <xf numFmtId="43" fontId="65" fillId="0" borderId="0" xfId="139" applyNumberFormat="1" applyFont="1" applyAlignment="1">
      <alignment horizontal="right" vertical="center" shrinkToFit="1"/>
    </xf>
    <xf numFmtId="180" fontId="66" fillId="3" borderId="1" xfId="4" applyNumberFormat="1" applyFont="1" applyFill="1" applyBorder="1">
      <alignment vertical="center"/>
    </xf>
    <xf numFmtId="25" fontId="65" fillId="0" borderId="0" xfId="139" applyNumberFormat="1" applyFont="1" applyAlignment="1">
      <alignment horizontal="right" vertical="center" shrinkToFit="1"/>
    </xf>
    <xf numFmtId="184" fontId="53" fillId="2" borderId="3" xfId="139" applyNumberFormat="1" applyFont="1" applyFill="1" applyBorder="1" applyAlignment="1">
      <alignment horizontal="center" vertical="center"/>
    </xf>
    <xf numFmtId="187" fontId="53" fillId="2" borderId="4" xfId="139" applyFont="1" applyFill="1" applyBorder="1" applyAlignment="1">
      <alignment horizontal="center" vertical="center"/>
    </xf>
    <xf numFmtId="180" fontId="53" fillId="2" borderId="1" xfId="4" applyNumberFormat="1" applyFont="1" applyFill="1" applyBorder="1" applyAlignment="1">
      <alignment vertical="center" shrinkToFit="1"/>
    </xf>
    <xf numFmtId="180" fontId="53" fillId="2" borderId="1" xfId="4" applyNumberFormat="1" applyFont="1" applyFill="1" applyBorder="1">
      <alignment vertical="center"/>
    </xf>
    <xf numFmtId="41" fontId="53" fillId="2" borderId="1" xfId="4" applyFont="1" applyFill="1" applyBorder="1">
      <alignment vertical="center"/>
    </xf>
    <xf numFmtId="5" fontId="65" fillId="0" borderId="0" xfId="139" applyNumberFormat="1" applyFont="1" applyAlignment="1">
      <alignment horizontal="right" vertical="center" shrinkToFit="1"/>
    </xf>
    <xf numFmtId="184" fontId="66" fillId="0" borderId="0" xfId="139" applyNumberFormat="1" applyFont="1" applyAlignment="1">
      <alignment horizontal="center" vertical="center"/>
    </xf>
    <xf numFmtId="187" fontId="66" fillId="0" borderId="0" xfId="139" applyFont="1" applyAlignment="1">
      <alignment horizontal="left" vertical="center"/>
    </xf>
    <xf numFmtId="180" fontId="66" fillId="0" borderId="0" xfId="4" applyNumberFormat="1" applyFont="1" applyAlignment="1">
      <alignment horizontal="left" vertical="center" shrinkToFit="1"/>
    </xf>
    <xf numFmtId="180" fontId="66" fillId="0" borderId="0" xfId="4" applyNumberFormat="1" applyFont="1" applyAlignment="1">
      <alignment horizontal="left" vertical="center"/>
    </xf>
    <xf numFmtId="41" fontId="66" fillId="0" borderId="0" xfId="4" applyFont="1" applyAlignment="1">
      <alignment horizontal="left" vertical="center"/>
    </xf>
    <xf numFmtId="187" fontId="73" fillId="0" borderId="0" xfId="139" applyFont="1" applyAlignment="1">
      <alignment horizontal="right" vertical="center" shrinkToFit="1"/>
    </xf>
    <xf numFmtId="180" fontId="66" fillId="0" borderId="0" xfId="4" applyNumberFormat="1" applyFont="1">
      <alignment vertical="center"/>
    </xf>
    <xf numFmtId="180" fontId="66" fillId="0" borderId="0" xfId="4" applyNumberFormat="1" applyFont="1" applyAlignment="1">
      <alignment vertical="center" shrinkToFit="1"/>
    </xf>
    <xf numFmtId="184" fontId="76" fillId="2" borderId="7" xfId="4" applyNumberFormat="1" applyFont="1" applyFill="1" applyBorder="1" applyAlignment="1">
      <alignment horizontal="center" vertical="center"/>
    </xf>
    <xf numFmtId="179" fontId="76" fillId="2" borderId="5" xfId="4" applyNumberFormat="1" applyFont="1" applyFill="1" applyBorder="1" applyAlignment="1">
      <alignment horizontal="center" vertical="center"/>
    </xf>
    <xf numFmtId="179" fontId="76" fillId="2" borderId="7" xfId="4" applyNumberFormat="1" applyFont="1" applyFill="1" applyBorder="1" applyAlignment="1">
      <alignment horizontal="center" vertical="center" shrinkToFit="1"/>
    </xf>
    <xf numFmtId="187" fontId="76" fillId="2" borderId="9" xfId="4" applyNumberFormat="1" applyFont="1" applyFill="1" applyBorder="1" applyAlignment="1">
      <alignment horizontal="center" vertical="center"/>
    </xf>
    <xf numFmtId="179" fontId="76" fillId="2" borderId="9" xfId="4" applyNumberFormat="1" applyFont="1" applyFill="1" applyBorder="1" applyAlignment="1">
      <alignment horizontal="center" vertical="center"/>
    </xf>
    <xf numFmtId="179" fontId="76" fillId="2" borderId="9" xfId="4" applyNumberFormat="1" applyFont="1" applyFill="1" applyBorder="1" applyAlignment="1">
      <alignment horizontal="center" vertical="center" shrinkToFit="1"/>
    </xf>
    <xf numFmtId="179" fontId="76" fillId="2" borderId="1" xfId="4" applyNumberFormat="1" applyFont="1" applyFill="1" applyBorder="1" applyAlignment="1">
      <alignment horizontal="center" vertical="center" shrinkToFit="1"/>
    </xf>
    <xf numFmtId="184" fontId="53" fillId="2" borderId="11" xfId="4" applyNumberFormat="1" applyFont="1" applyFill="1" applyBorder="1" applyAlignment="1">
      <alignment horizontal="center" vertical="center"/>
    </xf>
    <xf numFmtId="179" fontId="53" fillId="2" borderId="10" xfId="4" applyNumberFormat="1" applyFont="1" applyFill="1" applyBorder="1" applyAlignment="1">
      <alignment horizontal="center" vertical="center"/>
    </xf>
    <xf numFmtId="179" fontId="53" fillId="2" borderId="11" xfId="4" applyNumberFormat="1" applyFont="1" applyFill="1" applyBorder="1" applyAlignment="1">
      <alignment horizontal="center" vertical="center" shrinkToFit="1"/>
    </xf>
    <xf numFmtId="187" fontId="53" fillId="2" borderId="13" xfId="4" applyNumberFormat="1" applyFont="1" applyFill="1" applyBorder="1" applyAlignment="1">
      <alignment horizontal="center" vertical="center"/>
    </xf>
    <xf numFmtId="179" fontId="53" fillId="2" borderId="13" xfId="4" applyNumberFormat="1" applyFont="1" applyFill="1" applyBorder="1" applyAlignment="1">
      <alignment horizontal="center" vertical="center"/>
    </xf>
    <xf numFmtId="179" fontId="53" fillId="2" borderId="13" xfId="4" applyNumberFormat="1" applyFont="1" applyFill="1" applyBorder="1" applyAlignment="1">
      <alignment horizontal="center" vertical="center" shrinkToFit="1"/>
    </xf>
    <xf numFmtId="180" fontId="53" fillId="2" borderId="9" xfId="4" applyNumberFormat="1" applyFont="1" applyFill="1" applyBorder="1" applyAlignment="1">
      <alignment horizontal="center" vertical="center"/>
    </xf>
    <xf numFmtId="180" fontId="53" fillId="2" borderId="9" xfId="4" applyNumberFormat="1" applyFont="1" applyFill="1" applyBorder="1" applyAlignment="1">
      <alignment horizontal="center" vertical="center" shrinkToFit="1"/>
    </xf>
    <xf numFmtId="183" fontId="60" fillId="0" borderId="56" xfId="4" applyNumberFormat="1" applyFont="1" applyFill="1" applyBorder="1" applyAlignment="1">
      <alignment horizontal="right" vertical="center" shrinkToFit="1"/>
    </xf>
    <xf numFmtId="187" fontId="66" fillId="6" borderId="56" xfId="139" quotePrefix="1" applyFont="1" applyFill="1" applyBorder="1" applyAlignment="1">
      <alignment vertical="center" shrinkToFit="1"/>
    </xf>
    <xf numFmtId="0" fontId="66" fillId="0" borderId="0" xfId="139" applyNumberFormat="1" applyFont="1">
      <alignment vertical="center"/>
    </xf>
    <xf numFmtId="184" fontId="64" fillId="15" borderId="0" xfId="0" applyNumberFormat="1" applyFont="1" applyFill="1" applyAlignment="1">
      <alignment horizontal="left" vertical="center"/>
    </xf>
    <xf numFmtId="180" fontId="29" fillId="22" borderId="1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 applyAlignment="1">
      <alignment horizontal="center" vertical="center"/>
    </xf>
    <xf numFmtId="184" fontId="29" fillId="10" borderId="12" xfId="0" applyNumberFormat="1" applyFont="1" applyFill="1" applyBorder="1" applyAlignment="1">
      <alignment horizontal="left" vertical="center"/>
    </xf>
    <xf numFmtId="184" fontId="29" fillId="10" borderId="12" xfId="0" applyNumberFormat="1" applyFont="1" applyFill="1" applyBorder="1" applyAlignment="1">
      <alignment horizontal="center" vertical="center"/>
    </xf>
    <xf numFmtId="178" fontId="13" fillId="10" borderId="12" xfId="0" applyNumberFormat="1" applyFont="1" applyFill="1" applyBorder="1" applyAlignment="1">
      <alignment horizontal="center" vertical="center"/>
    </xf>
    <xf numFmtId="43" fontId="13" fillId="10" borderId="12" xfId="0" applyNumberFormat="1" applyFont="1" applyFill="1" applyBorder="1" applyAlignment="1">
      <alignment horizontal="center" vertical="center"/>
    </xf>
    <xf numFmtId="180" fontId="29" fillId="10" borderId="12" xfId="1" applyNumberFormat="1" applyFont="1" applyFill="1" applyBorder="1">
      <alignment vertical="center"/>
    </xf>
    <xf numFmtId="184" fontId="21" fillId="5" borderId="12" xfId="0" applyNumberFormat="1" applyFont="1" applyFill="1" applyBorder="1" applyAlignment="1">
      <alignment horizontal="center" vertical="center"/>
    </xf>
    <xf numFmtId="184" fontId="29" fillId="5" borderId="12" xfId="0" applyNumberFormat="1" applyFont="1" applyFill="1" applyBorder="1" applyAlignment="1">
      <alignment horizontal="left" vertical="center"/>
    </xf>
    <xf numFmtId="184" fontId="29" fillId="5" borderId="12" xfId="0" applyNumberFormat="1" applyFont="1" applyFill="1" applyBorder="1" applyAlignment="1">
      <alignment horizontal="center" vertical="center"/>
    </xf>
    <xf numFmtId="178" fontId="13" fillId="5" borderId="12" xfId="0" applyNumberFormat="1" applyFont="1" applyFill="1" applyBorder="1" applyAlignment="1">
      <alignment horizontal="center" vertical="center"/>
    </xf>
    <xf numFmtId="41" fontId="13" fillId="0" borderId="12" xfId="1" applyFont="1" applyBorder="1" applyAlignment="1">
      <alignment horizontal="center" vertical="center"/>
    </xf>
    <xf numFmtId="180" fontId="29" fillId="0" borderId="12" xfId="1" applyNumberFormat="1" applyFont="1" applyBorder="1" applyAlignment="1">
      <alignment horizontal="center" vertical="center"/>
    </xf>
    <xf numFmtId="180" fontId="29" fillId="0" borderId="12" xfId="1" applyNumberFormat="1" applyFont="1" applyBorder="1">
      <alignment vertical="center"/>
    </xf>
    <xf numFmtId="184" fontId="21" fillId="22" borderId="12" xfId="0" applyNumberFormat="1" applyFont="1" applyFill="1" applyBorder="1" applyAlignment="1">
      <alignment horizontal="center" vertical="center"/>
    </xf>
    <xf numFmtId="184" fontId="29" fillId="22" borderId="12" xfId="0" applyNumberFormat="1" applyFont="1" applyFill="1" applyBorder="1" applyAlignment="1">
      <alignment horizontal="left" vertical="center"/>
    </xf>
    <xf numFmtId="0" fontId="29" fillId="22" borderId="12" xfId="0" applyFont="1" applyFill="1" applyBorder="1" applyAlignment="1">
      <alignment horizontal="center" vertical="center"/>
    </xf>
    <xf numFmtId="184" fontId="29" fillId="22" borderId="12" xfId="0" applyNumberFormat="1" applyFont="1" applyFill="1" applyBorder="1" applyAlignment="1">
      <alignment horizontal="center" vertical="center"/>
    </xf>
    <xf numFmtId="178" fontId="13" fillId="22" borderId="12" xfId="0" applyNumberFormat="1" applyFont="1" applyFill="1" applyBorder="1" applyAlignment="1">
      <alignment horizontal="center" vertical="center"/>
    </xf>
    <xf numFmtId="0" fontId="13" fillId="22" borderId="12" xfId="0" applyFont="1" applyFill="1" applyBorder="1" applyAlignment="1">
      <alignment horizontal="center" vertical="center"/>
    </xf>
    <xf numFmtId="180" fontId="29" fillId="22" borderId="12" xfId="1" applyNumberFormat="1" applyFont="1" applyFill="1" applyBorder="1">
      <alignment vertical="center"/>
    </xf>
    <xf numFmtId="184" fontId="29" fillId="22" borderId="14" xfId="0" applyNumberFormat="1" applyFont="1" applyFill="1" applyBorder="1" applyAlignment="1">
      <alignment horizontal="left" vertical="center"/>
    </xf>
    <xf numFmtId="180" fontId="13" fillId="22" borderId="12" xfId="1" applyNumberFormat="1" applyFont="1" applyFill="1" applyBorder="1" applyAlignment="1">
      <alignment horizontal="center" vertical="center"/>
    </xf>
    <xf numFmtId="184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4" applyNumberFormat="1" applyFont="1" applyBorder="1" applyAlignment="1">
      <alignment vertical="center" wrapText="1" shrinkToFit="1"/>
    </xf>
    <xf numFmtId="0" fontId="66" fillId="0" borderId="56" xfId="139" applyNumberFormat="1" applyFont="1" applyBorder="1" applyAlignment="1">
      <alignment vertical="center" wrapText="1" shrinkToFit="1"/>
    </xf>
    <xf numFmtId="180" fontId="66" fillId="0" borderId="56" xfId="4" applyNumberFormat="1" applyFont="1" applyFill="1" applyBorder="1" applyAlignment="1">
      <alignment vertical="center" wrapText="1" shrinkToFit="1"/>
    </xf>
    <xf numFmtId="0" fontId="66" fillId="0" borderId="56" xfId="139" applyNumberFormat="1" applyFont="1" applyBorder="1" applyAlignment="1">
      <alignment horizontal="left" vertical="center" wrapText="1" shrinkToFit="1"/>
    </xf>
    <xf numFmtId="187" fontId="73" fillId="0" borderId="0" xfId="139" applyFont="1">
      <alignment vertical="center"/>
    </xf>
    <xf numFmtId="189" fontId="54" fillId="17" borderId="68" xfId="139" applyNumberFormat="1" applyFont="1" applyFill="1" applyBorder="1" applyAlignment="1">
      <alignment horizontal="center" vertical="center"/>
    </xf>
    <xf numFmtId="187" fontId="54" fillId="17" borderId="69" xfId="139" applyFont="1" applyFill="1" applyBorder="1" applyAlignment="1">
      <alignment horizontal="left" vertical="center"/>
    </xf>
    <xf numFmtId="187" fontId="54" fillId="17" borderId="70" xfId="139" applyFont="1" applyFill="1" applyBorder="1" applyAlignment="1">
      <alignment horizontal="left" vertical="center" shrinkToFit="1"/>
    </xf>
    <xf numFmtId="187" fontId="54" fillId="17" borderId="70" xfId="139" applyFont="1" applyFill="1" applyBorder="1" applyAlignment="1">
      <alignment horizontal="left" vertical="center"/>
    </xf>
    <xf numFmtId="187" fontId="54" fillId="17" borderId="70" xfId="139" applyFont="1" applyFill="1" applyBorder="1">
      <alignment vertical="center"/>
    </xf>
    <xf numFmtId="187" fontId="54" fillId="17" borderId="70" xfId="139" applyFont="1" applyFill="1" applyBorder="1" applyAlignment="1">
      <alignment vertical="center" shrinkToFit="1"/>
    </xf>
    <xf numFmtId="187" fontId="66" fillId="17" borderId="72" xfId="139" applyFont="1" applyFill="1" applyBorder="1" applyAlignment="1">
      <alignment vertical="center" shrinkToFit="1"/>
    </xf>
    <xf numFmtId="189" fontId="54" fillId="17" borderId="73" xfId="139" applyNumberFormat="1" applyFont="1" applyFill="1" applyBorder="1" applyAlignment="1">
      <alignment horizontal="center" vertical="center" wrapText="1"/>
    </xf>
    <xf numFmtId="187" fontId="54" fillId="17" borderId="74" xfId="139" applyFont="1" applyFill="1" applyBorder="1" applyAlignment="1">
      <alignment horizontal="left" vertical="center" wrapText="1"/>
    </xf>
    <xf numFmtId="187" fontId="54" fillId="17" borderId="74" xfId="139" applyFont="1" applyFill="1" applyBorder="1" applyAlignment="1">
      <alignment horizontal="left" vertical="center" wrapText="1" shrinkToFit="1"/>
    </xf>
    <xf numFmtId="187" fontId="54" fillId="17" borderId="74" xfId="139" applyFont="1" applyFill="1" applyBorder="1" applyAlignment="1">
      <alignment vertical="center" wrapText="1"/>
    </xf>
    <xf numFmtId="187" fontId="54" fillId="17" borderId="74" xfId="139" applyFont="1" applyFill="1" applyBorder="1" applyAlignment="1">
      <alignment vertical="center" wrapText="1" shrinkToFit="1"/>
    </xf>
    <xf numFmtId="187" fontId="54" fillId="17" borderId="74" xfId="139" applyFont="1" applyFill="1" applyBorder="1" applyAlignment="1">
      <alignment horizontal="center" vertical="center" wrapText="1"/>
    </xf>
    <xf numFmtId="180" fontId="54" fillId="17" borderId="74" xfId="4" applyNumberFormat="1" applyFont="1" applyFill="1" applyBorder="1" applyAlignment="1">
      <alignment horizontal="center" vertical="center" wrapText="1"/>
    </xf>
    <xf numFmtId="183" fontId="54" fillId="17" borderId="74" xfId="4" applyNumberFormat="1" applyFont="1" applyFill="1" applyBorder="1" applyAlignment="1">
      <alignment horizontal="center" vertical="center" wrapText="1" shrinkToFit="1"/>
    </xf>
    <xf numFmtId="180" fontId="54" fillId="17" borderId="74" xfId="4" applyNumberFormat="1" applyFont="1" applyFill="1" applyBorder="1" applyAlignment="1">
      <alignment horizontal="center" vertical="center" shrinkToFit="1"/>
    </xf>
    <xf numFmtId="180" fontId="54" fillId="17" borderId="74" xfId="4" applyNumberFormat="1" applyFont="1" applyFill="1" applyBorder="1">
      <alignment vertical="center"/>
    </xf>
    <xf numFmtId="183" fontId="54" fillId="17" borderId="74" xfId="4" applyNumberFormat="1" applyFont="1" applyFill="1" applyBorder="1">
      <alignment vertical="center"/>
    </xf>
    <xf numFmtId="190" fontId="75" fillId="17" borderId="74" xfId="139" applyNumberFormat="1" applyFont="1" applyFill="1" applyBorder="1" applyAlignment="1">
      <alignment horizontal="left" vertical="center"/>
    </xf>
    <xf numFmtId="187" fontId="54" fillId="17" borderId="74" xfId="139" applyFont="1" applyFill="1" applyBorder="1" applyAlignment="1">
      <alignment horizontal="left" vertical="center"/>
    </xf>
    <xf numFmtId="187" fontId="66" fillId="17" borderId="75" xfId="139" applyFont="1" applyFill="1" applyBorder="1" applyAlignment="1">
      <alignment vertical="center" shrinkToFit="1"/>
    </xf>
    <xf numFmtId="180" fontId="13" fillId="0" borderId="56" xfId="1" applyNumberFormat="1" applyFont="1" applyFill="1" applyBorder="1" applyAlignment="1">
      <alignment horizontal="center" vertical="center"/>
    </xf>
    <xf numFmtId="180" fontId="13" fillId="0" borderId="56" xfId="1" applyNumberFormat="1" applyFont="1" applyBorder="1" applyAlignment="1">
      <alignment horizontal="center" vertical="center"/>
    </xf>
    <xf numFmtId="184" fontId="29" fillId="0" borderId="56" xfId="0" applyNumberFormat="1" applyFont="1" applyBorder="1" applyAlignment="1">
      <alignment horizontal="left" vertical="center" wrapText="1"/>
    </xf>
    <xf numFmtId="0" fontId="13" fillId="0" borderId="56" xfId="0" applyFont="1" applyBorder="1" applyAlignment="1">
      <alignment vertical="center" wrapText="1"/>
    </xf>
    <xf numFmtId="184" fontId="29" fillId="0" borderId="56" xfId="0" applyNumberFormat="1" applyFont="1" applyBorder="1" applyAlignment="1">
      <alignment horizontal="left" vertical="center"/>
    </xf>
    <xf numFmtId="180" fontId="66" fillId="0" borderId="56" xfId="1" applyNumberFormat="1" applyFont="1" applyBorder="1" applyAlignment="1">
      <alignment vertical="center" shrinkToFit="1"/>
    </xf>
    <xf numFmtId="180" fontId="24" fillId="0" borderId="56" xfId="1" applyNumberFormat="1" applyFont="1" applyBorder="1" applyAlignment="1">
      <alignment horizontal="center" vertical="center"/>
    </xf>
    <xf numFmtId="180" fontId="21" fillId="0" borderId="56" xfId="1" applyNumberFormat="1" applyFont="1" applyBorder="1" applyAlignment="1">
      <alignment horizontal="center" vertical="center"/>
    </xf>
    <xf numFmtId="180" fontId="66" fillId="0" borderId="56" xfId="1" applyNumberFormat="1" applyFont="1" applyFill="1" applyBorder="1" applyAlignment="1">
      <alignment vertical="center" shrinkToFit="1"/>
    </xf>
    <xf numFmtId="3" fontId="21" fillId="0" borderId="0" xfId="0" applyNumberFormat="1" applyFont="1">
      <alignment vertical="center"/>
    </xf>
    <xf numFmtId="180" fontId="54" fillId="17" borderId="71" xfId="1" applyNumberFormat="1" applyFont="1" applyFill="1" applyBorder="1">
      <alignment vertical="center"/>
    </xf>
    <xf numFmtId="180" fontId="53" fillId="2" borderId="5" xfId="4" applyNumberFormat="1" applyFont="1" applyFill="1" applyBorder="1" applyAlignment="1">
      <alignment horizontal="center" vertical="center"/>
    </xf>
    <xf numFmtId="190" fontId="75" fillId="17" borderId="70" xfId="139" applyNumberFormat="1" applyFont="1" applyFill="1" applyBorder="1" applyAlignment="1">
      <alignment horizontal="left" vertical="center"/>
    </xf>
    <xf numFmtId="187" fontId="66" fillId="6" borderId="63" xfId="139" applyFont="1" applyFill="1" applyBorder="1" applyAlignment="1">
      <alignment horizontal="left" vertical="center" shrinkToFit="1"/>
    </xf>
    <xf numFmtId="179" fontId="53" fillId="2" borderId="79" xfId="139" applyNumberFormat="1" applyFont="1" applyFill="1" applyBorder="1" applyAlignment="1">
      <alignment horizontal="center" vertical="center"/>
    </xf>
    <xf numFmtId="179" fontId="53" fillId="2" borderId="80" xfId="139" applyNumberFormat="1" applyFont="1" applyFill="1" applyBorder="1" applyAlignment="1">
      <alignment horizontal="center" vertical="center"/>
    </xf>
    <xf numFmtId="180" fontId="54" fillId="17" borderId="81" xfId="4" applyNumberFormat="1" applyFont="1" applyFill="1" applyBorder="1">
      <alignment vertical="center"/>
    </xf>
    <xf numFmtId="180" fontId="54" fillId="17" borderId="82" xfId="4" applyNumberFormat="1" applyFont="1" applyFill="1" applyBorder="1">
      <alignment vertical="center"/>
    </xf>
    <xf numFmtId="180" fontId="66" fillId="6" borderId="83" xfId="4" applyNumberFormat="1" applyFont="1" applyFill="1" applyBorder="1" applyAlignment="1">
      <alignment vertical="center" shrinkToFit="1"/>
    </xf>
    <xf numFmtId="43" fontId="66" fillId="6" borderId="84" xfId="4" applyNumberFormat="1" applyFont="1" applyFill="1" applyBorder="1" applyAlignment="1">
      <alignment vertical="center" shrinkToFit="1"/>
    </xf>
    <xf numFmtId="180" fontId="54" fillId="17" borderId="85" xfId="4" applyNumberFormat="1" applyFont="1" applyFill="1" applyBorder="1">
      <alignment vertical="center"/>
    </xf>
    <xf numFmtId="180" fontId="54" fillId="17" borderId="86" xfId="4" applyNumberFormat="1" applyFont="1" applyFill="1" applyBorder="1">
      <alignment vertical="center"/>
    </xf>
    <xf numFmtId="180" fontId="66" fillId="4" borderId="62" xfId="4" applyNumberFormat="1" applyFont="1" applyFill="1" applyBorder="1" applyAlignment="1">
      <alignment vertical="center" shrinkToFit="1"/>
    </xf>
    <xf numFmtId="180" fontId="54" fillId="17" borderId="70" xfId="139" applyNumberFormat="1" applyFont="1" applyFill="1" applyBorder="1">
      <alignment vertical="center"/>
    </xf>
    <xf numFmtId="180" fontId="66" fillId="9" borderId="62" xfId="4" applyNumberFormat="1" applyFont="1" applyFill="1" applyBorder="1" applyAlignment="1">
      <alignment vertical="center" shrinkToFit="1"/>
    </xf>
    <xf numFmtId="184" fontId="66" fillId="9" borderId="56" xfId="139" applyNumberFormat="1" applyFont="1" applyFill="1" applyBorder="1" applyAlignment="1">
      <alignment horizontal="center" vertical="center" wrapText="1" shrinkToFit="1"/>
    </xf>
    <xf numFmtId="0" fontId="66" fillId="9" borderId="56" xfId="139" applyNumberFormat="1" applyFont="1" applyFill="1" applyBorder="1" applyAlignment="1">
      <alignment horizontal="center" vertical="center" wrapText="1" shrinkToFit="1"/>
    </xf>
    <xf numFmtId="180" fontId="21" fillId="9" borderId="56" xfId="1" applyNumberFormat="1" applyFont="1" applyFill="1" applyBorder="1" applyAlignment="1">
      <alignment horizontal="center" vertical="center" wrapText="1"/>
    </xf>
    <xf numFmtId="41" fontId="66" fillId="9" borderId="56" xfId="1" applyFont="1" applyFill="1" applyBorder="1" applyAlignment="1">
      <alignment vertical="center" wrapText="1" shrinkToFit="1"/>
    </xf>
    <xf numFmtId="180" fontId="66" fillId="9" borderId="56" xfId="1" applyNumberFormat="1" applyFont="1" applyFill="1" applyBorder="1" applyAlignment="1">
      <alignment vertical="center" shrinkToFit="1"/>
    </xf>
    <xf numFmtId="183" fontId="60" fillId="9" borderId="56" xfId="4" applyNumberFormat="1" applyFont="1" applyFill="1" applyBorder="1" applyAlignment="1">
      <alignment horizontal="right" vertical="center" shrinkToFit="1"/>
    </xf>
    <xf numFmtId="41" fontId="21" fillId="9" borderId="56" xfId="1" applyFont="1" applyFill="1" applyBorder="1" applyAlignment="1">
      <alignment horizontal="center" vertical="center" wrapText="1"/>
    </xf>
    <xf numFmtId="180" fontId="66" fillId="9" borderId="83" xfId="4" applyNumberFormat="1" applyFont="1" applyFill="1" applyBorder="1" applyAlignment="1">
      <alignment vertical="center" shrinkToFit="1"/>
    </xf>
    <xf numFmtId="43" fontId="66" fillId="9" borderId="84" xfId="4" applyNumberFormat="1" applyFont="1" applyFill="1" applyBorder="1" applyAlignment="1">
      <alignment vertical="center" shrinkToFit="1"/>
    </xf>
    <xf numFmtId="187" fontId="66" fillId="9" borderId="63" xfId="139" applyFont="1" applyFill="1" applyBorder="1" applyAlignment="1">
      <alignment horizontal="left" vertical="center" shrinkToFit="1"/>
    </xf>
    <xf numFmtId="187" fontId="66" fillId="9" borderId="56" xfId="139" quotePrefix="1" applyFont="1" applyFill="1" applyBorder="1" applyAlignment="1">
      <alignment vertical="center" shrinkToFit="1"/>
    </xf>
    <xf numFmtId="180" fontId="66" fillId="5" borderId="62" xfId="4" applyNumberFormat="1" applyFont="1" applyFill="1" applyBorder="1" applyAlignment="1">
      <alignment vertical="center" shrinkToFit="1"/>
    </xf>
    <xf numFmtId="0" fontId="66" fillId="9" borderId="56" xfId="139" applyNumberFormat="1" applyFont="1" applyFill="1" applyBorder="1" applyAlignment="1">
      <alignment horizontal="left" vertical="center" wrapText="1" shrinkToFit="1"/>
    </xf>
    <xf numFmtId="0" fontId="66" fillId="9" borderId="56" xfId="139" applyNumberFormat="1" applyFont="1" applyFill="1" applyBorder="1" applyAlignment="1">
      <alignment vertical="center" wrapText="1" shrinkToFit="1"/>
    </xf>
    <xf numFmtId="0" fontId="66" fillId="9" borderId="56" xfId="4" applyNumberFormat="1" applyFont="1" applyFill="1" applyBorder="1" applyAlignment="1">
      <alignment vertical="center" wrapText="1" shrinkToFit="1"/>
    </xf>
    <xf numFmtId="180" fontId="66" fillId="9" borderId="56" xfId="4" applyNumberFormat="1" applyFont="1" applyFill="1" applyBorder="1" applyAlignment="1">
      <alignment vertical="center" wrapText="1" shrinkToFit="1"/>
    </xf>
    <xf numFmtId="180" fontId="13" fillId="9" borderId="56" xfId="1" applyNumberFormat="1" applyFont="1" applyFill="1" applyBorder="1" applyAlignment="1">
      <alignment horizontal="center" vertical="center"/>
    </xf>
    <xf numFmtId="180" fontId="21" fillId="0" borderId="56" xfId="1" applyNumberFormat="1" applyFont="1" applyFill="1" applyBorder="1" applyAlignment="1">
      <alignment horizontal="center" vertical="center"/>
    </xf>
    <xf numFmtId="180" fontId="13" fillId="0" borderId="56" xfId="1" applyNumberFormat="1" applyFont="1" applyFill="1" applyBorder="1">
      <alignment vertical="center"/>
    </xf>
    <xf numFmtId="180" fontId="29" fillId="0" borderId="56" xfId="1" applyNumberFormat="1" applyFont="1" applyFill="1" applyBorder="1" applyAlignment="1">
      <alignment horizontal="center" vertical="center"/>
    </xf>
    <xf numFmtId="0" fontId="79" fillId="0" borderId="56" xfId="0" applyFont="1" applyBorder="1" applyAlignment="1">
      <alignment vertical="center" wrapText="1"/>
    </xf>
    <xf numFmtId="187" fontId="66" fillId="0" borderId="56" xfId="139" quotePrefix="1" applyFont="1" applyBorder="1" applyAlignment="1">
      <alignment vertical="center" shrinkToFit="1"/>
    </xf>
    <xf numFmtId="180" fontId="81" fillId="17" borderId="71" xfId="1" applyNumberFormat="1" applyFont="1" applyFill="1" applyBorder="1">
      <alignment vertical="center"/>
    </xf>
    <xf numFmtId="186" fontId="60" fillId="0" borderId="0" xfId="1" applyNumberFormat="1" applyFont="1" applyFill="1">
      <alignment vertical="center"/>
    </xf>
    <xf numFmtId="41" fontId="66" fillId="0" borderId="0" xfId="1" applyFont="1" applyFill="1">
      <alignment vertical="center"/>
    </xf>
    <xf numFmtId="180" fontId="66" fillId="0" borderId="0" xfId="1" applyNumberFormat="1" applyFont="1">
      <alignment vertical="center"/>
    </xf>
    <xf numFmtId="180" fontId="20" fillId="11" borderId="56" xfId="1" applyNumberFormat="1" applyFont="1" applyFill="1" applyBorder="1" applyAlignment="1">
      <alignment horizontal="center" vertical="center"/>
    </xf>
    <xf numFmtId="180" fontId="17" fillId="11" borderId="56" xfId="1" applyNumberFormat="1" applyFont="1" applyFill="1" applyBorder="1" applyAlignment="1">
      <alignment horizontal="center" vertical="center"/>
    </xf>
    <xf numFmtId="180" fontId="82" fillId="0" borderId="0" xfId="4" applyNumberFormat="1" applyFont="1" applyAlignment="1">
      <alignment vertical="center" shrinkToFit="1"/>
    </xf>
    <xf numFmtId="41" fontId="82" fillId="0" borderId="0" xfId="1" applyFont="1" applyAlignment="1">
      <alignment vertical="center" shrinkToFit="1"/>
    </xf>
    <xf numFmtId="180" fontId="66" fillId="0" borderId="1" xfId="4" applyNumberFormat="1" applyFont="1" applyFill="1" applyBorder="1">
      <alignment vertical="center"/>
    </xf>
    <xf numFmtId="41" fontId="66" fillId="0" borderId="1" xfId="4" applyFont="1" applyFill="1" applyBorder="1" applyAlignment="1">
      <alignment vertical="center" shrinkToFit="1"/>
    </xf>
    <xf numFmtId="180" fontId="83" fillId="0" borderId="0" xfId="1" applyNumberFormat="1" applyFont="1" applyAlignment="1">
      <alignment horizontal="right" vertical="center"/>
    </xf>
    <xf numFmtId="180" fontId="73" fillId="0" borderId="1" xfId="4" applyNumberFormat="1" applyFont="1" applyBorder="1">
      <alignment vertical="center"/>
    </xf>
    <xf numFmtId="180" fontId="73" fillId="0" borderId="1" xfId="4" applyNumberFormat="1" applyFont="1" applyFill="1" applyBorder="1">
      <alignment vertical="center"/>
    </xf>
    <xf numFmtId="0" fontId="21" fillId="9" borderId="56" xfId="0" applyFont="1" applyFill="1" applyBorder="1" applyAlignment="1">
      <alignment vertical="center" wrapText="1"/>
    </xf>
    <xf numFmtId="184" fontId="29" fillId="0" borderId="56" xfId="0" applyNumberFormat="1" applyFont="1" applyBorder="1">
      <alignment vertical="center"/>
    </xf>
    <xf numFmtId="189" fontId="54" fillId="17" borderId="56" xfId="139" applyNumberFormat="1" applyFont="1" applyFill="1" applyBorder="1" applyAlignment="1">
      <alignment horizontal="center" vertical="center"/>
    </xf>
    <xf numFmtId="187" fontId="54" fillId="17" borderId="56" xfId="139" applyFont="1" applyFill="1" applyBorder="1">
      <alignment vertical="center"/>
    </xf>
    <xf numFmtId="187" fontId="54" fillId="17" borderId="56" xfId="139" applyFont="1" applyFill="1" applyBorder="1" applyAlignment="1">
      <alignment horizontal="left" vertical="center" shrinkToFit="1"/>
    </xf>
    <xf numFmtId="187" fontId="54" fillId="17" borderId="56" xfId="139" applyFont="1" applyFill="1" applyBorder="1" applyAlignment="1">
      <alignment horizontal="left" vertical="center"/>
    </xf>
    <xf numFmtId="187" fontId="54" fillId="17" borderId="56" xfId="139" applyFont="1" applyFill="1" applyBorder="1" applyAlignment="1">
      <alignment vertical="center" shrinkToFit="1"/>
    </xf>
    <xf numFmtId="180" fontId="54" fillId="17" borderId="56" xfId="139" applyNumberFormat="1" applyFont="1" applyFill="1" applyBorder="1">
      <alignment vertical="center"/>
    </xf>
    <xf numFmtId="180" fontId="54" fillId="17" borderId="56" xfId="1" applyNumberFormat="1" applyFont="1" applyFill="1" applyBorder="1">
      <alignment vertical="center"/>
    </xf>
    <xf numFmtId="180" fontId="54" fillId="17" borderId="56" xfId="4" applyNumberFormat="1" applyFont="1" applyFill="1" applyBorder="1">
      <alignment vertical="center"/>
    </xf>
    <xf numFmtId="187" fontId="66" fillId="17" borderId="56" xfId="139" applyFont="1" applyFill="1" applyBorder="1" applyAlignment="1">
      <alignment vertical="center" shrinkToFit="1"/>
    </xf>
    <xf numFmtId="0" fontId="21" fillId="0" borderId="56" xfId="0" applyFont="1" applyBorder="1">
      <alignment vertical="center"/>
    </xf>
    <xf numFmtId="0" fontId="21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 wrapText="1"/>
    </xf>
    <xf numFmtId="0" fontId="13" fillId="0" borderId="56" xfId="0" applyFont="1" applyBorder="1">
      <alignment vertical="center"/>
    </xf>
    <xf numFmtId="189" fontId="54" fillId="17" borderId="56" xfId="139" applyNumberFormat="1" applyFont="1" applyFill="1" applyBorder="1" applyAlignment="1">
      <alignment horizontal="center" vertical="center" wrapText="1"/>
    </xf>
    <xf numFmtId="187" fontId="54" fillId="17" borderId="56" xfId="139" applyFont="1" applyFill="1" applyBorder="1" applyAlignment="1">
      <alignment horizontal="left" vertical="center" wrapText="1"/>
    </xf>
    <xf numFmtId="187" fontId="54" fillId="17" borderId="56" xfId="139" applyFont="1" applyFill="1" applyBorder="1" applyAlignment="1">
      <alignment horizontal="left" vertical="center" wrapText="1" shrinkToFit="1"/>
    </xf>
    <xf numFmtId="187" fontId="54" fillId="17" borderId="56" xfId="139" applyFont="1" applyFill="1" applyBorder="1" applyAlignment="1">
      <alignment vertical="center" wrapText="1"/>
    </xf>
    <xf numFmtId="187" fontId="54" fillId="17" borderId="56" xfId="139" applyFont="1" applyFill="1" applyBorder="1" applyAlignment="1">
      <alignment vertical="center" wrapText="1" shrinkToFit="1"/>
    </xf>
    <xf numFmtId="187" fontId="54" fillId="17" borderId="56" xfId="139" applyFont="1" applyFill="1" applyBorder="1" applyAlignment="1">
      <alignment horizontal="center" vertical="center" wrapText="1"/>
    </xf>
    <xf numFmtId="180" fontId="54" fillId="17" borderId="56" xfId="4" applyNumberFormat="1" applyFont="1" applyFill="1" applyBorder="1" applyAlignment="1">
      <alignment horizontal="center" vertical="center" wrapText="1"/>
    </xf>
    <xf numFmtId="183" fontId="54" fillId="17" borderId="56" xfId="4" applyNumberFormat="1" applyFont="1" applyFill="1" applyBorder="1" applyAlignment="1">
      <alignment horizontal="center" vertical="center" wrapText="1" shrinkToFit="1"/>
    </xf>
    <xf numFmtId="180" fontId="54" fillId="17" borderId="56" xfId="4" applyNumberFormat="1" applyFont="1" applyFill="1" applyBorder="1" applyAlignment="1">
      <alignment horizontal="center" vertical="center" shrinkToFit="1"/>
    </xf>
    <xf numFmtId="180" fontId="81" fillId="17" borderId="62" xfId="1" applyNumberFormat="1" applyFont="1" applyFill="1" applyBorder="1">
      <alignment vertical="center"/>
    </xf>
    <xf numFmtId="183" fontId="54" fillId="17" borderId="62" xfId="4" applyNumberFormat="1" applyFont="1" applyFill="1" applyBorder="1">
      <alignment vertical="center"/>
    </xf>
    <xf numFmtId="190" fontId="75" fillId="17" borderId="63" xfId="139" applyNumberFormat="1" applyFont="1" applyFill="1" applyBorder="1" applyAlignment="1">
      <alignment horizontal="left" vertical="center"/>
    </xf>
    <xf numFmtId="180" fontId="54" fillId="17" borderId="83" xfId="4" applyNumberFormat="1" applyFont="1" applyFill="1" applyBorder="1">
      <alignment vertical="center"/>
    </xf>
    <xf numFmtId="180" fontId="54" fillId="17" borderId="84" xfId="4" applyNumberFormat="1" applyFont="1" applyFill="1" applyBorder="1">
      <alignment vertical="center"/>
    </xf>
    <xf numFmtId="180" fontId="54" fillId="17" borderId="87" xfId="4" applyNumberFormat="1" applyFont="1" applyFill="1" applyBorder="1">
      <alignment vertical="center"/>
    </xf>
    <xf numFmtId="180" fontId="54" fillId="17" borderId="88" xfId="4" applyNumberFormat="1" applyFont="1" applyFill="1" applyBorder="1">
      <alignment vertical="center"/>
    </xf>
    <xf numFmtId="0" fontId="66" fillId="0" borderId="56" xfId="4" applyNumberFormat="1" applyFont="1" applyFill="1" applyBorder="1" applyAlignment="1">
      <alignment vertical="center" wrapText="1" shrinkToFit="1"/>
    </xf>
    <xf numFmtId="180" fontId="66" fillId="0" borderId="83" xfId="4" applyNumberFormat="1" applyFont="1" applyFill="1" applyBorder="1" applyAlignment="1">
      <alignment vertical="center" shrinkToFit="1"/>
    </xf>
    <xf numFmtId="43" fontId="66" fillId="0" borderId="84" xfId="4" applyNumberFormat="1" applyFont="1" applyFill="1" applyBorder="1" applyAlignment="1">
      <alignment vertical="center" shrinkToFit="1"/>
    </xf>
    <xf numFmtId="187" fontId="66" fillId="0" borderId="63" xfId="139" applyFont="1" applyBorder="1" applyAlignment="1">
      <alignment horizontal="left" vertical="center" shrinkToFit="1"/>
    </xf>
    <xf numFmtId="178" fontId="21" fillId="0" borderId="56" xfId="0" applyNumberFormat="1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 wrapText="1"/>
    </xf>
    <xf numFmtId="0" fontId="84" fillId="0" borderId="0" xfId="3" applyFont="1">
      <alignment vertical="center"/>
    </xf>
    <xf numFmtId="180" fontId="66" fillId="10" borderId="62" xfId="4" applyNumberFormat="1" applyFont="1" applyFill="1" applyBorder="1" applyAlignment="1">
      <alignment vertical="center" shrinkToFit="1"/>
    </xf>
    <xf numFmtId="180" fontId="60" fillId="0" borderId="1" xfId="4" applyNumberFormat="1" applyFont="1" applyBorder="1">
      <alignment vertical="center"/>
    </xf>
    <xf numFmtId="180" fontId="60" fillId="0" borderId="1" xfId="4" applyNumberFormat="1" applyFont="1" applyFill="1" applyBorder="1">
      <alignment vertical="center"/>
    </xf>
    <xf numFmtId="183" fontId="66" fillId="10" borderId="62" xfId="4" applyNumberFormat="1" applyFont="1" applyFill="1" applyBorder="1" applyAlignment="1">
      <alignment vertical="center" shrinkToFit="1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180" fontId="85" fillId="10" borderId="62" xfId="4" applyNumberFormat="1" applyFont="1" applyFill="1" applyBorder="1" applyAlignment="1">
      <alignment vertical="center" shrinkToFit="1"/>
    </xf>
    <xf numFmtId="180" fontId="24" fillId="0" borderId="56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41" fontId="66" fillId="0" borderId="56" xfId="1" applyFont="1" applyBorder="1" applyAlignment="1">
      <alignment vertical="center" wrapText="1" shrinkToFit="1"/>
    </xf>
    <xf numFmtId="184" fontId="66" fillId="11" borderId="56" xfId="139" applyNumberFormat="1" applyFont="1" applyFill="1" applyBorder="1" applyAlignment="1">
      <alignment horizontal="center" vertical="center" wrapText="1" shrinkToFit="1"/>
    </xf>
    <xf numFmtId="0" fontId="21" fillId="11" borderId="56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 wrapText="1"/>
    </xf>
    <xf numFmtId="0" fontId="66" fillId="11" borderId="56" xfId="139" applyNumberFormat="1" applyFont="1" applyFill="1" applyBorder="1" applyAlignment="1">
      <alignment horizontal="center" vertical="center" wrapText="1" shrinkToFit="1"/>
    </xf>
    <xf numFmtId="0" fontId="66" fillId="11" borderId="56" xfId="4" applyNumberFormat="1" applyFont="1" applyFill="1" applyBorder="1" applyAlignment="1">
      <alignment vertical="center" wrapText="1" shrinkToFit="1"/>
    </xf>
    <xf numFmtId="180" fontId="66" fillId="11" borderId="56" xfId="4" applyNumberFormat="1" applyFont="1" applyFill="1" applyBorder="1" applyAlignment="1">
      <alignment vertical="center" wrapText="1" shrinkToFit="1"/>
    </xf>
    <xf numFmtId="183" fontId="60" fillId="11" borderId="56" xfId="4" applyNumberFormat="1" applyFont="1" applyFill="1" applyBorder="1" applyAlignment="1">
      <alignment horizontal="right" vertical="center" shrinkToFit="1"/>
    </xf>
    <xf numFmtId="180" fontId="66" fillId="11" borderId="83" xfId="4" applyNumberFormat="1" applyFont="1" applyFill="1" applyBorder="1" applyAlignment="1">
      <alignment vertical="center" shrinkToFit="1"/>
    </xf>
    <xf numFmtId="43" fontId="66" fillId="11" borderId="84" xfId="4" applyNumberFormat="1" applyFont="1" applyFill="1" applyBorder="1" applyAlignment="1">
      <alignment vertical="center" shrinkToFit="1"/>
    </xf>
    <xf numFmtId="187" fontId="66" fillId="11" borderId="63" xfId="139" applyFont="1" applyFill="1" applyBorder="1" applyAlignment="1">
      <alignment horizontal="left" vertical="center" shrinkToFit="1"/>
    </xf>
    <xf numFmtId="187" fontId="66" fillId="11" borderId="56" xfId="139" quotePrefix="1" applyFont="1" applyFill="1" applyBorder="1" applyAlignment="1">
      <alignment vertical="center" shrinkToFit="1"/>
    </xf>
    <xf numFmtId="184" fontId="29" fillId="11" borderId="56" xfId="0" applyNumberFormat="1" applyFont="1" applyFill="1" applyBorder="1">
      <alignment vertical="center"/>
    </xf>
    <xf numFmtId="0" fontId="66" fillId="11" borderId="56" xfId="139" applyNumberFormat="1" applyFont="1" applyFill="1" applyBorder="1" applyAlignment="1">
      <alignment vertical="center" wrapText="1" shrinkToFit="1"/>
    </xf>
    <xf numFmtId="180" fontId="24" fillId="11" borderId="56" xfId="1" applyNumberFormat="1" applyFont="1" applyFill="1" applyBorder="1" applyAlignment="1">
      <alignment horizontal="center" vertical="center"/>
    </xf>
    <xf numFmtId="180" fontId="71" fillId="0" borderId="0" xfId="4" applyNumberFormat="1" applyFont="1">
      <alignment vertical="center"/>
    </xf>
    <xf numFmtId="179" fontId="53" fillId="0" borderId="0" xfId="4" applyNumberFormat="1" applyFont="1" applyFill="1" applyBorder="1" applyAlignment="1">
      <alignment horizontal="left" vertical="center"/>
    </xf>
    <xf numFmtId="3" fontId="29" fillId="0" borderId="12" xfId="0" applyNumberFormat="1" applyFont="1" applyBorder="1">
      <alignment vertical="center"/>
    </xf>
    <xf numFmtId="43" fontId="13" fillId="0" borderId="12" xfId="0" applyNumberFormat="1" applyFont="1" applyBorder="1">
      <alignment vertical="center"/>
    </xf>
    <xf numFmtId="184" fontId="66" fillId="23" borderId="56" xfId="139" applyNumberFormat="1" applyFont="1" applyFill="1" applyBorder="1" applyAlignment="1">
      <alignment horizontal="center" vertical="center" wrapText="1" shrinkToFit="1"/>
    </xf>
    <xf numFmtId="0" fontId="13" fillId="23" borderId="56" xfId="0" applyFont="1" applyFill="1" applyBorder="1">
      <alignment vertical="center"/>
    </xf>
    <xf numFmtId="0" fontId="21" fillId="23" borderId="56" xfId="0" applyFont="1" applyFill="1" applyBorder="1" applyAlignment="1">
      <alignment horizontal="center" vertical="center"/>
    </xf>
    <xf numFmtId="0" fontId="24" fillId="23" borderId="56" xfId="0" applyFont="1" applyFill="1" applyBorder="1" applyAlignment="1">
      <alignment horizontal="center" vertical="center" wrapText="1"/>
    </xf>
    <xf numFmtId="0" fontId="66" fillId="23" borderId="56" xfId="139" applyNumberFormat="1" applyFont="1" applyFill="1" applyBorder="1" applyAlignment="1">
      <alignment horizontal="center" vertical="center" wrapText="1" shrinkToFit="1"/>
    </xf>
    <xf numFmtId="180" fontId="13" fillId="23" borderId="56" xfId="1" applyNumberFormat="1" applyFont="1" applyFill="1" applyBorder="1" applyAlignment="1">
      <alignment horizontal="center" vertical="center"/>
    </xf>
    <xf numFmtId="0" fontId="66" fillId="23" borderId="56" xfId="4" applyNumberFormat="1" applyFont="1" applyFill="1" applyBorder="1" applyAlignment="1">
      <alignment vertical="center" wrapText="1" shrinkToFit="1"/>
    </xf>
    <xf numFmtId="180" fontId="66" fillId="23" borderId="62" xfId="4" applyNumberFormat="1" applyFont="1" applyFill="1" applyBorder="1" applyAlignment="1">
      <alignment vertical="center" shrinkToFit="1"/>
    </xf>
    <xf numFmtId="183" fontId="60" fillId="23" borderId="56" xfId="4" applyNumberFormat="1" applyFont="1" applyFill="1" applyBorder="1" applyAlignment="1">
      <alignment horizontal="right" vertical="center" shrinkToFit="1"/>
    </xf>
    <xf numFmtId="180" fontId="66" fillId="23" borderId="83" xfId="4" applyNumberFormat="1" applyFont="1" applyFill="1" applyBorder="1" applyAlignment="1">
      <alignment vertical="center" shrinkToFit="1"/>
    </xf>
    <xf numFmtId="43" fontId="66" fillId="23" borderId="84" xfId="4" applyNumberFormat="1" applyFont="1" applyFill="1" applyBorder="1" applyAlignment="1">
      <alignment vertical="center" shrinkToFit="1"/>
    </xf>
    <xf numFmtId="187" fontId="66" fillId="23" borderId="63" xfId="139" applyFont="1" applyFill="1" applyBorder="1" applyAlignment="1">
      <alignment horizontal="left" vertical="center" shrinkToFit="1"/>
    </xf>
    <xf numFmtId="187" fontId="66" fillId="23" borderId="56" xfId="139" quotePrefix="1" applyFont="1" applyFill="1" applyBorder="1" applyAlignment="1">
      <alignment vertical="center" shrinkToFit="1"/>
    </xf>
    <xf numFmtId="0" fontId="13" fillId="23" borderId="56" xfId="0" applyFont="1" applyFill="1" applyBorder="1" applyAlignment="1">
      <alignment vertical="center" wrapText="1"/>
    </xf>
    <xf numFmtId="180" fontId="60" fillId="5" borderId="62" xfId="4" applyNumberFormat="1" applyFont="1" applyFill="1" applyBorder="1" applyAlignment="1">
      <alignment vertical="center" shrinkToFit="1"/>
    </xf>
    <xf numFmtId="0" fontId="29" fillId="0" borderId="13" xfId="0" applyFont="1" applyBorder="1" applyAlignment="1">
      <alignment horizontal="center" vertical="center"/>
    </xf>
    <xf numFmtId="185" fontId="13" fillId="0" borderId="2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80" fontId="13" fillId="0" borderId="31" xfId="1" applyNumberFormat="1" applyFont="1" applyBorder="1" applyAlignment="1">
      <alignment horizontal="center" vertical="center"/>
    </xf>
    <xf numFmtId="180" fontId="13" fillId="0" borderId="30" xfId="1" applyNumberFormat="1" applyFont="1" applyBorder="1" applyAlignment="1">
      <alignment horizontal="center" vertical="center"/>
    </xf>
    <xf numFmtId="180" fontId="13" fillId="0" borderId="2" xfId="1" applyNumberFormat="1" applyFont="1" applyBorder="1" applyAlignment="1">
      <alignment horizontal="center" vertical="center"/>
    </xf>
    <xf numFmtId="180" fontId="65" fillId="0" borderId="0" xfId="4" applyNumberFormat="1" applyFont="1" applyAlignment="1">
      <alignment horizontal="left" vertical="center"/>
    </xf>
    <xf numFmtId="41" fontId="65" fillId="0" borderId="0" xfId="4" applyFont="1" applyAlignment="1">
      <alignment horizontal="left" vertical="center"/>
    </xf>
    <xf numFmtId="43" fontId="66" fillId="4" borderId="84" xfId="4" applyNumberFormat="1" applyFont="1" applyFill="1" applyBorder="1" applyAlignment="1">
      <alignment vertical="center" shrinkToFit="1"/>
    </xf>
    <xf numFmtId="180" fontId="66" fillId="4" borderId="0" xfId="4" applyNumberFormat="1" applyFont="1" applyFill="1">
      <alignment vertical="center"/>
    </xf>
    <xf numFmtId="0" fontId="87" fillId="0" borderId="0" xfId="0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184" fontId="66" fillId="10" borderId="56" xfId="139" applyNumberFormat="1" applyFont="1" applyFill="1" applyBorder="1" applyAlignment="1">
      <alignment horizontal="center" vertical="center" wrapText="1" shrinkToFit="1"/>
    </xf>
    <xf numFmtId="184" fontId="29" fillId="10" borderId="56" xfId="0" applyNumberFormat="1" applyFont="1" applyFill="1" applyBorder="1">
      <alignment vertical="center"/>
    </xf>
    <xf numFmtId="0" fontId="24" fillId="10" borderId="56" xfId="0" applyFont="1" applyFill="1" applyBorder="1" applyAlignment="1">
      <alignment horizontal="center" vertical="center" wrapText="1"/>
    </xf>
    <xf numFmtId="0" fontId="66" fillId="10" borderId="56" xfId="139" applyNumberFormat="1" applyFont="1" applyFill="1" applyBorder="1" applyAlignment="1">
      <alignment horizontal="center" vertical="center" wrapText="1" shrinkToFit="1"/>
    </xf>
    <xf numFmtId="180" fontId="66" fillId="10" borderId="56" xfId="1" applyNumberFormat="1" applyFont="1" applyFill="1" applyBorder="1" applyAlignment="1">
      <alignment vertical="center" wrapText="1" shrinkToFit="1"/>
    </xf>
    <xf numFmtId="0" fontId="66" fillId="10" borderId="56" xfId="4" applyNumberFormat="1" applyFont="1" applyFill="1" applyBorder="1" applyAlignment="1">
      <alignment vertical="center" wrapText="1" shrinkToFit="1"/>
    </xf>
    <xf numFmtId="180" fontId="21" fillId="10" borderId="56" xfId="1" applyNumberFormat="1" applyFont="1" applyFill="1" applyBorder="1" applyAlignment="1">
      <alignment horizontal="center" vertical="center"/>
    </xf>
    <xf numFmtId="183" fontId="60" fillId="10" borderId="56" xfId="4" applyNumberFormat="1" applyFont="1" applyFill="1" applyBorder="1" applyAlignment="1">
      <alignment horizontal="right" vertical="center" shrinkToFit="1"/>
    </xf>
    <xf numFmtId="180" fontId="66" fillId="10" borderId="83" xfId="4" applyNumberFormat="1" applyFont="1" applyFill="1" applyBorder="1" applyAlignment="1">
      <alignment vertical="center" shrinkToFit="1"/>
    </xf>
    <xf numFmtId="43" fontId="66" fillId="10" borderId="84" xfId="4" applyNumberFormat="1" applyFont="1" applyFill="1" applyBorder="1" applyAlignment="1">
      <alignment vertical="center" shrinkToFit="1"/>
    </xf>
    <xf numFmtId="187" fontId="66" fillId="10" borderId="63" xfId="139" applyFont="1" applyFill="1" applyBorder="1" applyAlignment="1">
      <alignment horizontal="left" vertical="center" shrinkToFit="1"/>
    </xf>
    <xf numFmtId="184" fontId="66" fillId="4" borderId="56" xfId="139" applyNumberFormat="1" applyFont="1" applyFill="1" applyBorder="1" applyAlignment="1">
      <alignment horizontal="center" vertical="center" wrapText="1" shrinkToFit="1"/>
    </xf>
    <xf numFmtId="184" fontId="29" fillId="4" borderId="56" xfId="0" applyNumberFormat="1" applyFont="1" applyFill="1" applyBorder="1">
      <alignment vertical="center"/>
    </xf>
    <xf numFmtId="0" fontId="24" fillId="4" borderId="56" xfId="0" applyFont="1" applyFill="1" applyBorder="1" applyAlignment="1">
      <alignment horizontal="center" vertical="center" wrapText="1"/>
    </xf>
    <xf numFmtId="0" fontId="66" fillId="4" borderId="56" xfId="139" applyNumberFormat="1" applyFont="1" applyFill="1" applyBorder="1" applyAlignment="1">
      <alignment horizontal="center" vertical="center" wrapText="1" shrinkToFit="1"/>
    </xf>
    <xf numFmtId="0" fontId="66" fillId="4" borderId="56" xfId="139" applyNumberFormat="1" applyFont="1" applyFill="1" applyBorder="1" applyAlignment="1">
      <alignment vertical="center" wrapText="1" shrinkToFit="1"/>
    </xf>
    <xf numFmtId="0" fontId="66" fillId="4" borderId="56" xfId="4" applyNumberFormat="1" applyFont="1" applyFill="1" applyBorder="1" applyAlignment="1">
      <alignment vertical="center" wrapText="1" shrinkToFit="1"/>
    </xf>
    <xf numFmtId="180" fontId="66" fillId="4" borderId="56" xfId="4" applyNumberFormat="1" applyFont="1" applyFill="1" applyBorder="1" applyAlignment="1">
      <alignment vertical="center" wrapText="1" shrinkToFit="1"/>
    </xf>
    <xf numFmtId="180" fontId="21" fillId="4" borderId="56" xfId="1" applyNumberFormat="1" applyFont="1" applyFill="1" applyBorder="1" applyAlignment="1">
      <alignment horizontal="center" vertical="center"/>
    </xf>
    <xf numFmtId="183" fontId="60" fillId="4" borderId="56" xfId="4" applyNumberFormat="1" applyFont="1" applyFill="1" applyBorder="1" applyAlignment="1">
      <alignment horizontal="right" vertical="center" shrinkToFit="1"/>
    </xf>
    <xf numFmtId="180" fontId="66" fillId="4" borderId="83" xfId="4" applyNumberFormat="1" applyFont="1" applyFill="1" applyBorder="1" applyAlignment="1">
      <alignment vertical="center" shrinkToFit="1"/>
    </xf>
    <xf numFmtId="187" fontId="66" fillId="4" borderId="63" xfId="139" applyFont="1" applyFill="1" applyBorder="1" applyAlignment="1">
      <alignment horizontal="left" vertical="center" shrinkToFit="1"/>
    </xf>
    <xf numFmtId="180" fontId="66" fillId="8" borderId="62" xfId="4" applyNumberFormat="1" applyFont="1" applyFill="1" applyBorder="1" applyAlignment="1">
      <alignment vertical="center" shrinkToFit="1"/>
    </xf>
    <xf numFmtId="179" fontId="53" fillId="0" borderId="0" xfId="4" quotePrefix="1" applyNumberFormat="1" applyFont="1" applyFill="1" applyBorder="1" applyAlignment="1">
      <alignment horizontal="left" vertical="center"/>
    </xf>
    <xf numFmtId="180" fontId="67" fillId="0" borderId="0" xfId="4" applyNumberFormat="1" applyFont="1" applyFill="1" applyBorder="1">
      <alignment vertical="center"/>
    </xf>
    <xf numFmtId="179" fontId="72" fillId="0" borderId="0" xfId="4" quotePrefix="1" applyNumberFormat="1" applyFont="1" applyFill="1" applyBorder="1" applyAlignment="1">
      <alignment horizontal="left" vertical="center"/>
    </xf>
    <xf numFmtId="179" fontId="72" fillId="0" borderId="0" xfId="4" applyNumberFormat="1" applyFont="1" applyFill="1" applyBorder="1" applyAlignment="1">
      <alignment horizontal="left" vertical="center" shrinkToFit="1"/>
    </xf>
    <xf numFmtId="184" fontId="53" fillId="0" borderId="0" xfId="4" applyNumberFormat="1" applyFont="1" applyFill="1" applyBorder="1" applyAlignment="1">
      <alignment horizontal="center" vertical="center"/>
    </xf>
    <xf numFmtId="179" fontId="53" fillId="0" borderId="0" xfId="4" applyNumberFormat="1" applyFont="1" applyFill="1" applyBorder="1" applyAlignment="1">
      <alignment horizontal="center" vertical="center"/>
    </xf>
    <xf numFmtId="179" fontId="53" fillId="0" borderId="0" xfId="4" applyNumberFormat="1" applyFont="1" applyFill="1" applyBorder="1" applyAlignment="1">
      <alignment horizontal="center" vertical="center" shrinkToFit="1"/>
    </xf>
    <xf numFmtId="180" fontId="53" fillId="0" borderId="0" xfId="4" applyNumberFormat="1" applyFont="1" applyFill="1" applyBorder="1" applyAlignment="1">
      <alignment horizontal="center" vertical="center" shrinkToFit="1"/>
    </xf>
    <xf numFmtId="179" fontId="53" fillId="0" borderId="0" xfId="4" applyNumberFormat="1" applyFont="1" applyFill="1" applyBorder="1" applyAlignment="1">
      <alignment horizontal="center" vertical="center" wrapText="1"/>
    </xf>
    <xf numFmtId="41" fontId="66" fillId="0" borderId="0" xfId="4" applyFont="1" applyFill="1" applyBorder="1" applyAlignment="1">
      <alignment vertical="center" shrinkToFit="1"/>
    </xf>
    <xf numFmtId="187" fontId="74" fillId="0" borderId="0" xfId="139" applyFont="1">
      <alignment vertical="center"/>
    </xf>
    <xf numFmtId="184" fontId="53" fillId="0" borderId="0" xfId="139" applyNumberFormat="1" applyFont="1" applyAlignment="1">
      <alignment horizontal="center" vertical="center"/>
    </xf>
    <xf numFmtId="187" fontId="53" fillId="0" borderId="0" xfId="139" applyFont="1" applyAlignment="1">
      <alignment horizontal="center" vertical="center"/>
    </xf>
    <xf numFmtId="180" fontId="60" fillId="0" borderId="83" xfId="4" applyNumberFormat="1" applyFont="1" applyFill="1" applyBorder="1" applyAlignment="1">
      <alignment vertical="center" shrinkToFit="1"/>
    </xf>
    <xf numFmtId="180" fontId="75" fillId="17" borderId="83" xfId="4" applyNumberFormat="1" applyFont="1" applyFill="1" applyBorder="1">
      <alignment vertical="center"/>
    </xf>
    <xf numFmtId="180" fontId="75" fillId="17" borderId="84" xfId="4" applyNumberFormat="1" applyFont="1" applyFill="1" applyBorder="1">
      <alignment vertical="center"/>
    </xf>
    <xf numFmtId="184" fontId="66" fillId="24" borderId="56" xfId="139" applyNumberFormat="1" applyFont="1" applyFill="1" applyBorder="1" applyAlignment="1">
      <alignment horizontal="center" vertical="center" wrapText="1" shrinkToFit="1"/>
    </xf>
    <xf numFmtId="184" fontId="29" fillId="24" borderId="56" xfId="0" applyNumberFormat="1" applyFont="1" applyFill="1" applyBorder="1">
      <alignment vertical="center"/>
    </xf>
    <xf numFmtId="0" fontId="24" fillId="24" borderId="56" xfId="0" applyFont="1" applyFill="1" applyBorder="1" applyAlignment="1">
      <alignment horizontal="center" vertical="center" wrapText="1"/>
    </xf>
    <xf numFmtId="0" fontId="66" fillId="24" borderId="56" xfId="139" applyNumberFormat="1" applyFont="1" applyFill="1" applyBorder="1" applyAlignment="1">
      <alignment horizontal="center" vertical="center" wrapText="1" shrinkToFit="1"/>
    </xf>
    <xf numFmtId="0" fontId="66" fillId="24" borderId="56" xfId="139" applyNumberFormat="1" applyFont="1" applyFill="1" applyBorder="1" applyAlignment="1">
      <alignment vertical="center" wrapText="1" shrinkToFit="1"/>
    </xf>
    <xf numFmtId="0" fontId="66" fillId="24" borderId="56" xfId="4" applyNumberFormat="1" applyFont="1" applyFill="1" applyBorder="1" applyAlignment="1">
      <alignment vertical="center" wrapText="1" shrinkToFit="1"/>
    </xf>
    <xf numFmtId="180" fontId="66" fillId="24" borderId="56" xfId="4" applyNumberFormat="1" applyFont="1" applyFill="1" applyBorder="1" applyAlignment="1">
      <alignment vertical="center" wrapText="1" shrinkToFit="1"/>
    </xf>
    <xf numFmtId="180" fontId="21" fillId="24" borderId="56" xfId="1" applyNumberFormat="1" applyFont="1" applyFill="1" applyBorder="1" applyAlignment="1">
      <alignment horizontal="center" vertical="center"/>
    </xf>
    <xf numFmtId="183" fontId="60" fillId="24" borderId="56" xfId="4" applyNumberFormat="1" applyFont="1" applyFill="1" applyBorder="1" applyAlignment="1">
      <alignment horizontal="right" vertical="center" shrinkToFit="1"/>
    </xf>
    <xf numFmtId="180" fontId="66" fillId="24" borderId="83" xfId="4" applyNumberFormat="1" applyFont="1" applyFill="1" applyBorder="1" applyAlignment="1">
      <alignment vertical="center" shrinkToFit="1"/>
    </xf>
    <xf numFmtId="43" fontId="66" fillId="24" borderId="84" xfId="4" applyNumberFormat="1" applyFont="1" applyFill="1" applyBorder="1" applyAlignment="1">
      <alignment vertical="center" shrinkToFit="1"/>
    </xf>
    <xf numFmtId="187" fontId="66" fillId="24" borderId="63" xfId="139" applyFont="1" applyFill="1" applyBorder="1" applyAlignment="1">
      <alignment horizontal="left" vertical="center" shrinkToFit="1"/>
    </xf>
    <xf numFmtId="180" fontId="92" fillId="19" borderId="53" xfId="2" applyNumberFormat="1" applyFont="1" applyFill="1" applyBorder="1" applyAlignment="1">
      <alignment vertical="center"/>
    </xf>
    <xf numFmtId="180" fontId="75" fillId="0" borderId="83" xfId="4" applyNumberFormat="1" applyFont="1" applyFill="1" applyBorder="1" applyAlignment="1">
      <alignment vertical="center" shrinkToFit="1"/>
    </xf>
    <xf numFmtId="43" fontId="75" fillId="0" borderId="84" xfId="4" applyNumberFormat="1" applyFont="1" applyFill="1" applyBorder="1" applyAlignment="1">
      <alignment vertical="center" shrinkToFit="1"/>
    </xf>
    <xf numFmtId="180" fontId="75" fillId="0" borderId="0" xfId="4" applyNumberFormat="1" applyFont="1">
      <alignment vertical="center"/>
    </xf>
    <xf numFmtId="187" fontId="54" fillId="17" borderId="62" xfId="139" applyFont="1" applyFill="1" applyBorder="1" applyAlignment="1">
      <alignment horizontal="left" vertical="center"/>
    </xf>
    <xf numFmtId="187" fontId="66" fillId="24" borderId="62" xfId="139" quotePrefix="1" applyFont="1" applyFill="1" applyBorder="1" applyAlignment="1">
      <alignment vertical="center" shrinkToFit="1"/>
    </xf>
    <xf numFmtId="187" fontId="66" fillId="10" borderId="62" xfId="139" quotePrefix="1" applyFont="1" applyFill="1" applyBorder="1" applyAlignment="1">
      <alignment vertical="center" shrinkToFit="1"/>
    </xf>
    <xf numFmtId="187" fontId="66" fillId="0" borderId="62" xfId="139" quotePrefix="1" applyFont="1" applyBorder="1" applyAlignment="1">
      <alignment vertical="center" shrinkToFit="1"/>
    </xf>
    <xf numFmtId="187" fontId="66" fillId="4" borderId="62" xfId="139" quotePrefix="1" applyFont="1" applyFill="1" applyBorder="1" applyAlignment="1">
      <alignment vertical="center" shrinkToFit="1"/>
    </xf>
    <xf numFmtId="187" fontId="66" fillId="6" borderId="62" xfId="139" quotePrefix="1" applyFont="1" applyFill="1" applyBorder="1" applyAlignment="1">
      <alignment vertical="center" shrinkToFit="1"/>
    </xf>
    <xf numFmtId="187" fontId="66" fillId="17" borderId="89" xfId="139" applyFont="1" applyFill="1" applyBorder="1" applyAlignment="1">
      <alignment vertical="center" shrinkToFit="1"/>
    </xf>
    <xf numFmtId="187" fontId="66" fillId="17" borderId="1" xfId="139" applyFont="1" applyFill="1" applyBorder="1" applyAlignment="1">
      <alignment vertical="center" shrinkToFit="1"/>
    </xf>
    <xf numFmtId="187" fontId="66" fillId="24" borderId="1" xfId="139" quotePrefix="1" applyFont="1" applyFill="1" applyBorder="1" applyAlignment="1">
      <alignment vertical="center" shrinkToFit="1"/>
    </xf>
    <xf numFmtId="187" fontId="66" fillId="10" borderId="1" xfId="139" quotePrefix="1" applyFont="1" applyFill="1" applyBorder="1" applyAlignment="1">
      <alignment vertical="center" shrinkToFit="1"/>
    </xf>
    <xf numFmtId="187" fontId="66" fillId="0" borderId="1" xfId="139" quotePrefix="1" applyFont="1" applyBorder="1" applyAlignment="1">
      <alignment vertical="center" shrinkToFit="1"/>
    </xf>
    <xf numFmtId="0" fontId="13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184" fontId="66" fillId="0" borderId="1" xfId="139" applyNumberFormat="1" applyFont="1" applyBorder="1" applyAlignment="1">
      <alignment horizontal="center" vertical="center"/>
    </xf>
    <xf numFmtId="187" fontId="66" fillId="0" borderId="1" xfId="139" applyFont="1" applyBorder="1" applyAlignment="1">
      <alignment vertical="center" shrinkToFit="1"/>
    </xf>
    <xf numFmtId="184" fontId="66" fillId="23" borderId="1" xfId="139" applyNumberFormat="1" applyFont="1" applyFill="1" applyBorder="1" applyAlignment="1">
      <alignment horizontal="center" vertical="center"/>
    </xf>
    <xf numFmtId="183" fontId="60" fillId="23" borderId="1" xfId="4" applyNumberFormat="1" applyFont="1" applyFill="1" applyBorder="1" applyAlignment="1">
      <alignment horizontal="right" vertical="center" shrinkToFit="1"/>
    </xf>
    <xf numFmtId="41" fontId="66" fillId="23" borderId="1" xfId="1" applyFont="1" applyFill="1" applyBorder="1" applyAlignment="1">
      <alignment vertical="center" shrinkToFit="1"/>
    </xf>
    <xf numFmtId="180" fontId="66" fillId="23" borderId="1" xfId="4" applyNumberFormat="1" applyFont="1" applyFill="1" applyBorder="1" applyAlignment="1">
      <alignment vertical="center" shrinkToFit="1"/>
    </xf>
    <xf numFmtId="183" fontId="60" fillId="0" borderId="1" xfId="4" applyNumberFormat="1" applyFont="1" applyFill="1" applyBorder="1" applyAlignment="1">
      <alignment horizontal="right" vertical="center" shrinkToFit="1"/>
    </xf>
    <xf numFmtId="41" fontId="66" fillId="0" borderId="1" xfId="1" applyFont="1" applyBorder="1" applyAlignment="1">
      <alignment vertical="center" shrinkToFit="1"/>
    </xf>
    <xf numFmtId="180" fontId="66" fillId="0" borderId="1" xfId="4" applyNumberFormat="1" applyFont="1" applyFill="1" applyBorder="1" applyAlignment="1">
      <alignment vertical="center" shrinkToFit="1"/>
    </xf>
    <xf numFmtId="180" fontId="21" fillId="11" borderId="56" xfId="1" applyNumberFormat="1" applyFont="1" applyFill="1" applyBorder="1" applyAlignment="1">
      <alignment horizontal="center" vertical="center"/>
    </xf>
    <xf numFmtId="180" fontId="66" fillId="11" borderId="62" xfId="4" applyNumberFormat="1" applyFont="1" applyFill="1" applyBorder="1" applyAlignment="1">
      <alignment vertical="center" shrinkToFit="1"/>
    </xf>
    <xf numFmtId="180" fontId="75" fillId="11" borderId="90" xfId="4" applyNumberFormat="1" applyFont="1" applyFill="1" applyBorder="1" applyAlignment="1">
      <alignment vertical="center" shrinkToFit="1"/>
    </xf>
    <xf numFmtId="43" fontId="75" fillId="11" borderId="91" xfId="4" applyNumberFormat="1" applyFont="1" applyFill="1" applyBorder="1" applyAlignment="1">
      <alignment vertical="center" shrinkToFit="1"/>
    </xf>
    <xf numFmtId="187" fontId="66" fillId="11" borderId="62" xfId="139" quotePrefix="1" applyFont="1" applyFill="1" applyBorder="1" applyAlignment="1">
      <alignment vertical="center" shrinkToFit="1"/>
    </xf>
    <xf numFmtId="187" fontId="66" fillId="11" borderId="0" xfId="139" quotePrefix="1" applyFont="1" applyFill="1" applyAlignment="1">
      <alignment vertical="center" shrinkToFit="1"/>
    </xf>
    <xf numFmtId="0" fontId="21" fillId="0" borderId="56" xfId="0" applyFont="1" applyBorder="1" applyAlignment="1">
      <alignment vertical="center" wrapText="1"/>
    </xf>
    <xf numFmtId="180" fontId="13" fillId="4" borderId="92" xfId="1" applyNumberFormat="1" applyFont="1" applyFill="1" applyBorder="1" applyAlignment="1">
      <alignment horizontal="center" vertical="center"/>
    </xf>
    <xf numFmtId="183" fontId="29" fillId="4" borderId="12" xfId="1" applyNumberFormat="1" applyFont="1" applyFill="1" applyBorder="1" applyAlignment="1">
      <alignment horizontal="center" vertical="center"/>
    </xf>
    <xf numFmtId="180" fontId="73" fillId="0" borderId="0" xfId="4" applyNumberFormat="1" applyFont="1">
      <alignment vertical="center"/>
    </xf>
    <xf numFmtId="184" fontId="17" fillId="4" borderId="56" xfId="0" applyNumberFormat="1" applyFont="1" applyFill="1" applyBorder="1">
      <alignment vertical="center"/>
    </xf>
    <xf numFmtId="0" fontId="20" fillId="4" borderId="56" xfId="0" applyFont="1" applyFill="1" applyBorder="1" applyAlignment="1">
      <alignment horizontal="center" vertical="center" wrapText="1"/>
    </xf>
    <xf numFmtId="0" fontId="73" fillId="4" borderId="56" xfId="139" applyNumberFormat="1" applyFont="1" applyFill="1" applyBorder="1" applyAlignment="1">
      <alignment horizontal="center" vertical="center" wrapText="1" shrinkToFit="1"/>
    </xf>
    <xf numFmtId="0" fontId="73" fillId="4" borderId="56" xfId="139" applyNumberFormat="1" applyFont="1" applyFill="1" applyBorder="1" applyAlignment="1">
      <alignment vertical="center" wrapText="1" shrinkToFit="1"/>
    </xf>
    <xf numFmtId="0" fontId="73" fillId="4" borderId="56" xfId="4" applyNumberFormat="1" applyFont="1" applyFill="1" applyBorder="1" applyAlignment="1">
      <alignment vertical="center" wrapText="1" shrinkToFit="1"/>
    </xf>
    <xf numFmtId="180" fontId="73" fillId="4" borderId="56" xfId="4" applyNumberFormat="1" applyFont="1" applyFill="1" applyBorder="1" applyAlignment="1">
      <alignment vertical="center" wrapText="1" shrinkToFit="1"/>
    </xf>
    <xf numFmtId="180" fontId="20" fillId="4" borderId="56" xfId="1" applyNumberFormat="1" applyFont="1" applyFill="1" applyBorder="1" applyAlignment="1">
      <alignment horizontal="center" vertical="center"/>
    </xf>
    <xf numFmtId="183" fontId="73" fillId="4" borderId="56" xfId="4" applyNumberFormat="1" applyFont="1" applyFill="1" applyBorder="1" applyAlignment="1">
      <alignment horizontal="right" vertical="center" shrinkToFit="1"/>
    </xf>
    <xf numFmtId="180" fontId="73" fillId="23" borderId="62" xfId="4" applyNumberFormat="1" applyFont="1" applyFill="1" applyBorder="1" applyAlignment="1">
      <alignment vertical="center" shrinkToFit="1"/>
    </xf>
    <xf numFmtId="180" fontId="73" fillId="4" borderId="83" xfId="4" applyNumberFormat="1" applyFont="1" applyFill="1" applyBorder="1" applyAlignment="1">
      <alignment vertical="center" shrinkToFit="1"/>
    </xf>
    <xf numFmtId="43" fontId="73" fillId="4" borderId="84" xfId="4" applyNumberFormat="1" applyFont="1" applyFill="1" applyBorder="1" applyAlignment="1">
      <alignment vertical="center" shrinkToFit="1"/>
    </xf>
    <xf numFmtId="187" fontId="73" fillId="4" borderId="62" xfId="139" quotePrefix="1" applyFont="1" applyFill="1" applyBorder="1" applyAlignment="1">
      <alignment vertical="center" shrinkToFit="1"/>
    </xf>
    <xf numFmtId="0" fontId="17" fillId="4" borderId="1" xfId="0" applyFont="1" applyFill="1" applyBorder="1" applyAlignment="1">
      <alignment vertical="center" wrapText="1"/>
    </xf>
    <xf numFmtId="41" fontId="66" fillId="0" borderId="0" xfId="1" applyFont="1">
      <alignment vertical="center"/>
    </xf>
    <xf numFmtId="180" fontId="66" fillId="0" borderId="0" xfId="1" applyNumberFormat="1" applyFont="1" applyBorder="1">
      <alignment vertical="center"/>
    </xf>
    <xf numFmtId="180" fontId="65" fillId="0" borderId="0" xfId="4" applyNumberFormat="1" applyFont="1" applyAlignment="1">
      <alignment vertical="center" shrinkToFit="1"/>
    </xf>
    <xf numFmtId="41" fontId="65" fillId="0" borderId="0" xfId="1" applyFont="1" applyAlignment="1">
      <alignment vertical="center" shrinkToFit="1"/>
    </xf>
    <xf numFmtId="180" fontId="73" fillId="0" borderId="0" xfId="1" applyNumberFormat="1" applyFont="1">
      <alignment vertical="center"/>
    </xf>
    <xf numFmtId="43" fontId="73" fillId="0" borderId="84" xfId="4" applyNumberFormat="1" applyFont="1" applyFill="1" applyBorder="1" applyAlignment="1">
      <alignment vertical="center" shrinkToFit="1"/>
    </xf>
    <xf numFmtId="180" fontId="73" fillId="0" borderId="83" xfId="4" applyNumberFormat="1" applyFont="1" applyFill="1" applyBorder="1" applyAlignment="1">
      <alignment vertical="center" shrinkToFit="1"/>
    </xf>
    <xf numFmtId="180" fontId="24" fillId="4" borderId="56" xfId="1" applyNumberFormat="1" applyFont="1" applyFill="1" applyBorder="1" applyAlignment="1">
      <alignment horizontal="center" vertical="center"/>
    </xf>
    <xf numFmtId="187" fontId="73" fillId="0" borderId="0" xfId="139" applyFont="1" applyAlignment="1">
      <alignment vertical="center" shrinkToFit="1"/>
    </xf>
    <xf numFmtId="41" fontId="60" fillId="0" borderId="0" xfId="1" applyFont="1">
      <alignment vertical="center"/>
    </xf>
    <xf numFmtId="187" fontId="60" fillId="0" borderId="0" xfId="139" applyFont="1">
      <alignment vertical="center"/>
    </xf>
    <xf numFmtId="187" fontId="93" fillId="0" borderId="0" xfId="139" applyFont="1">
      <alignment vertical="center"/>
    </xf>
    <xf numFmtId="41" fontId="73" fillId="3" borderId="1" xfId="4" applyFont="1" applyFill="1" applyBorder="1" applyAlignment="1">
      <alignment vertical="center" shrinkToFit="1"/>
    </xf>
    <xf numFmtId="180" fontId="73" fillId="3" borderId="1" xfId="4" applyNumberFormat="1" applyFont="1" applyFill="1" applyBorder="1">
      <alignment vertical="center"/>
    </xf>
    <xf numFmtId="178" fontId="21" fillId="0" borderId="1" xfId="0" applyNumberFormat="1" applyFont="1" applyBorder="1" applyAlignment="1">
      <alignment horizontal="center" vertical="center"/>
    </xf>
    <xf numFmtId="0" fontId="66" fillId="0" borderId="0" xfId="139" applyNumberFormat="1" applyFont="1" applyAlignment="1">
      <alignment vertical="center" wrapText="1" shrinkToFit="1"/>
    </xf>
    <xf numFmtId="178" fontId="21" fillId="0" borderId="0" xfId="0" applyNumberFormat="1" applyFont="1" applyAlignment="1">
      <alignment horizontal="center" vertical="center"/>
    </xf>
    <xf numFmtId="180" fontId="24" fillId="0" borderId="1" xfId="1" applyNumberFormat="1" applyFont="1" applyBorder="1" applyAlignment="1">
      <alignment horizontal="center" vertical="center"/>
    </xf>
    <xf numFmtId="180" fontId="24" fillId="0" borderId="0" xfId="1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vertical="center" wrapText="1"/>
    </xf>
    <xf numFmtId="43" fontId="60" fillId="0" borderId="84" xfId="4" applyNumberFormat="1" applyFont="1" applyFill="1" applyBorder="1" applyAlignment="1">
      <alignment vertical="center" shrinkToFit="1"/>
    </xf>
    <xf numFmtId="187" fontId="54" fillId="17" borderId="56" xfId="139" applyFont="1" applyFill="1" applyBorder="1" applyAlignment="1">
      <alignment horizontal="center" vertical="center"/>
    </xf>
    <xf numFmtId="180" fontId="13" fillId="0" borderId="1" xfId="1" applyNumberFormat="1" applyFont="1" applyBorder="1" applyAlignment="1">
      <alignment horizontal="center" vertical="center"/>
    </xf>
    <xf numFmtId="187" fontId="65" fillId="0" borderId="0" xfId="139" applyFont="1" applyAlignment="1">
      <alignment vertical="center" shrinkToFit="1"/>
    </xf>
    <xf numFmtId="187" fontId="65" fillId="0" borderId="0" xfId="139" applyFont="1">
      <alignment vertical="center"/>
    </xf>
    <xf numFmtId="0" fontId="60" fillId="0" borderId="0" xfId="138" applyNumberFormat="1" applyFont="1" applyAlignment="1">
      <alignment vertical="center" shrinkToFit="1"/>
    </xf>
    <xf numFmtId="184" fontId="53" fillId="2" borderId="3" xfId="139" applyNumberFormat="1" applyFont="1" applyFill="1" applyBorder="1" applyAlignment="1">
      <alignment horizontal="center" vertical="center" shrinkToFit="1"/>
    </xf>
    <xf numFmtId="187" fontId="53" fillId="2" borderId="4" xfId="139" applyFont="1" applyFill="1" applyBorder="1" applyAlignment="1">
      <alignment horizontal="center" vertical="center" shrinkToFit="1"/>
    </xf>
    <xf numFmtId="41" fontId="53" fillId="2" borderId="1" xfId="4" applyFont="1" applyFill="1" applyBorder="1" applyAlignment="1">
      <alignment vertical="center" shrinkToFit="1"/>
    </xf>
    <xf numFmtId="41" fontId="60" fillId="0" borderId="0" xfId="1" applyFont="1" applyAlignment="1">
      <alignment vertical="center" shrinkToFit="1"/>
    </xf>
    <xf numFmtId="184" fontId="81" fillId="0" borderId="0" xfId="139" applyNumberFormat="1" applyFont="1" applyAlignment="1">
      <alignment horizontal="center" vertical="center" shrinkToFit="1"/>
    </xf>
    <xf numFmtId="187" fontId="53" fillId="0" borderId="0" xfId="139" applyFont="1" applyAlignment="1">
      <alignment horizontal="center" vertical="center" shrinkToFit="1"/>
    </xf>
    <xf numFmtId="0" fontId="65" fillId="0" borderId="0" xfId="139" applyNumberFormat="1" applyFont="1" applyAlignment="1">
      <alignment vertical="center" shrinkToFit="1"/>
    </xf>
    <xf numFmtId="180" fontId="71" fillId="0" borderId="0" xfId="4" applyNumberFormat="1" applyFont="1" applyAlignment="1">
      <alignment vertical="center" shrinkToFit="1"/>
    </xf>
    <xf numFmtId="186" fontId="60" fillId="0" borderId="0" xfId="1" applyNumberFormat="1" applyFont="1" applyFill="1" applyAlignment="1">
      <alignment vertical="center" shrinkToFit="1"/>
    </xf>
    <xf numFmtId="187" fontId="67" fillId="0" borderId="0" xfId="139" applyFont="1" applyAlignment="1">
      <alignment horizontal="center" vertical="center" shrinkToFit="1"/>
    </xf>
    <xf numFmtId="187" fontId="66" fillId="11" borderId="1" xfId="139" quotePrefix="1" applyFont="1" applyFill="1" applyBorder="1" applyAlignment="1">
      <alignment vertical="center" shrinkToFit="1"/>
    </xf>
    <xf numFmtId="43" fontId="66" fillId="0" borderId="0" xfId="4" applyNumberFormat="1" applyFont="1">
      <alignment vertical="center"/>
    </xf>
    <xf numFmtId="180" fontId="81" fillId="17" borderId="93" xfId="1" applyNumberFormat="1" applyFont="1" applyFill="1" applyBorder="1">
      <alignment vertical="center"/>
    </xf>
    <xf numFmtId="180" fontId="81" fillId="17" borderId="84" xfId="1" applyNumberFormat="1" applyFont="1" applyFill="1" applyBorder="1">
      <alignment vertical="center"/>
    </xf>
    <xf numFmtId="43" fontId="66" fillId="0" borderId="0" xfId="4" applyNumberFormat="1" applyFont="1" applyFill="1">
      <alignment vertical="center"/>
    </xf>
    <xf numFmtId="180" fontId="66" fillId="0" borderId="0" xfId="1" applyNumberFormat="1" applyFont="1" applyFill="1">
      <alignment vertical="center"/>
    </xf>
    <xf numFmtId="191" fontId="66" fillId="11" borderId="62" xfId="4" applyNumberFormat="1" applyFont="1" applyFill="1" applyBorder="1" applyAlignment="1">
      <alignment vertical="center" shrinkToFit="1"/>
    </xf>
    <xf numFmtId="180" fontId="21" fillId="4" borderId="62" xfId="1" applyNumberFormat="1" applyFont="1" applyFill="1" applyBorder="1" applyAlignment="1">
      <alignment horizontal="center" vertical="center"/>
    </xf>
    <xf numFmtId="1" fontId="66" fillId="0" borderId="0" xfId="4" applyNumberFormat="1" applyFont="1" applyFill="1">
      <alignment vertical="center"/>
    </xf>
    <xf numFmtId="43" fontId="73" fillId="0" borderId="88" xfId="4" applyNumberFormat="1" applyFont="1" applyFill="1" applyBorder="1" applyAlignment="1">
      <alignment vertical="center" shrinkToFit="1"/>
    </xf>
    <xf numFmtId="43" fontId="73" fillId="0" borderId="0" xfId="4" applyNumberFormat="1" applyFont="1">
      <alignment vertical="center"/>
    </xf>
    <xf numFmtId="41" fontId="22" fillId="0" borderId="0" xfId="1" applyFont="1">
      <alignment vertical="center"/>
    </xf>
    <xf numFmtId="41" fontId="65" fillId="0" borderId="0" xfId="1" applyFont="1">
      <alignment vertical="center"/>
    </xf>
    <xf numFmtId="187" fontId="66" fillId="0" borderId="0" xfId="139" applyFont="1" applyAlignment="1">
      <alignment horizontal="center" vertical="center" shrinkToFit="1"/>
    </xf>
    <xf numFmtId="184" fontId="29" fillId="11" borderId="56" xfId="0" applyNumberFormat="1" applyFont="1" applyFill="1" applyBorder="1" applyAlignment="1">
      <alignment horizontal="left" vertical="center"/>
    </xf>
    <xf numFmtId="184" fontId="66" fillId="0" borderId="0" xfId="139" applyNumberFormat="1" applyFont="1" applyAlignment="1">
      <alignment horizontal="left" vertical="center"/>
    </xf>
    <xf numFmtId="184" fontId="29" fillId="10" borderId="56" xfId="0" applyNumberFormat="1" applyFont="1" applyFill="1" applyBorder="1" applyAlignment="1">
      <alignment horizontal="left" vertical="center"/>
    </xf>
    <xf numFmtId="180" fontId="73" fillId="0" borderId="87" xfId="4" applyNumberFormat="1" applyFont="1" applyFill="1" applyBorder="1" applyAlignment="1">
      <alignment vertical="center" shrinkToFit="1"/>
    </xf>
    <xf numFmtId="0" fontId="96" fillId="0" borderId="1" xfId="0" applyFont="1" applyBorder="1" applyAlignment="1">
      <alignment horizontal="left" vertical="center"/>
    </xf>
    <xf numFmtId="0" fontId="97" fillId="0" borderId="1" xfId="0" applyFont="1" applyBorder="1" applyAlignment="1">
      <alignment horizontal="left" vertical="center"/>
    </xf>
    <xf numFmtId="41" fontId="66" fillId="11" borderId="56" xfId="1" applyFont="1" applyFill="1" applyBorder="1" applyAlignment="1">
      <alignment vertical="center" wrapText="1" shrinkToFit="1"/>
    </xf>
    <xf numFmtId="180" fontId="66" fillId="11" borderId="56" xfId="1" applyNumberFormat="1" applyFont="1" applyFill="1" applyBorder="1" applyAlignment="1">
      <alignment vertical="center" wrapText="1" shrinkToFit="1"/>
    </xf>
    <xf numFmtId="180" fontId="73" fillId="0" borderId="0" xfId="1" applyNumberFormat="1" applyFont="1" applyFill="1">
      <alignment vertical="center"/>
    </xf>
    <xf numFmtId="179" fontId="81" fillId="0" borderId="0" xfId="4" applyNumberFormat="1" applyFont="1" applyFill="1" applyBorder="1" applyAlignment="1">
      <alignment horizontal="center" vertical="center" shrinkToFit="1"/>
    </xf>
    <xf numFmtId="41" fontId="60" fillId="0" borderId="0" xfId="4" applyFont="1" applyFill="1" applyBorder="1" applyAlignment="1">
      <alignment vertical="center" shrinkToFit="1"/>
    </xf>
    <xf numFmtId="180" fontId="75" fillId="17" borderId="93" xfId="1" applyNumberFormat="1" applyFont="1" applyFill="1" applyBorder="1">
      <alignment vertical="center"/>
    </xf>
    <xf numFmtId="180" fontId="75" fillId="17" borderId="84" xfId="1" applyNumberFormat="1" applyFont="1" applyFill="1" applyBorder="1">
      <alignment vertical="center"/>
    </xf>
    <xf numFmtId="41" fontId="66" fillId="0" borderId="0" xfId="1" applyFont="1" applyAlignment="1">
      <alignment vertical="center" shrinkToFit="1"/>
    </xf>
    <xf numFmtId="179" fontId="53" fillId="2" borderId="9" xfId="4" applyNumberFormat="1" applyFont="1" applyFill="1" applyBorder="1" applyAlignment="1">
      <alignment horizontal="center" vertical="center" shrinkToFit="1"/>
    </xf>
    <xf numFmtId="180" fontId="81" fillId="17" borderId="56" xfId="1" applyNumberFormat="1" applyFont="1" applyFill="1" applyBorder="1">
      <alignment vertical="center"/>
    </xf>
    <xf numFmtId="180" fontId="75" fillId="17" borderId="56" xfId="1" applyNumberFormat="1" applyFont="1" applyFill="1" applyBorder="1">
      <alignment vertical="center"/>
    </xf>
    <xf numFmtId="190" fontId="75" fillId="17" borderId="56" xfId="139" applyNumberFormat="1" applyFont="1" applyFill="1" applyBorder="1" applyAlignment="1">
      <alignment horizontal="left" vertical="center"/>
    </xf>
    <xf numFmtId="180" fontId="66" fillId="4" borderId="56" xfId="4" applyNumberFormat="1" applyFont="1" applyFill="1" applyBorder="1" applyAlignment="1">
      <alignment vertical="center" shrinkToFit="1"/>
    </xf>
    <xf numFmtId="180" fontId="66" fillId="11" borderId="56" xfId="4" applyNumberFormat="1" applyFont="1" applyFill="1" applyBorder="1" applyAlignment="1">
      <alignment vertical="center" shrinkToFit="1"/>
    </xf>
    <xf numFmtId="187" fontId="66" fillId="0" borderId="56" xfId="139" applyFont="1" applyBorder="1" applyAlignment="1">
      <alignment horizontal="left" vertical="center" shrinkToFit="1"/>
    </xf>
    <xf numFmtId="180" fontId="66" fillId="5" borderId="56" xfId="4" applyNumberFormat="1" applyFont="1" applyFill="1" applyBorder="1" applyAlignment="1">
      <alignment vertical="center" shrinkToFit="1"/>
    </xf>
    <xf numFmtId="187" fontId="66" fillId="0" borderId="56" xfId="139" applyFont="1" applyBorder="1" applyAlignment="1">
      <alignment vertical="center" shrinkToFit="1"/>
    </xf>
    <xf numFmtId="0" fontId="60" fillId="11" borderId="56" xfId="0" applyFont="1" applyFill="1" applyBorder="1" applyAlignment="1">
      <alignment horizontal="center" vertical="center" wrapText="1"/>
    </xf>
    <xf numFmtId="180" fontId="66" fillId="11" borderId="56" xfId="1" applyNumberFormat="1" applyFont="1" applyFill="1" applyBorder="1" applyAlignment="1">
      <alignment horizontal="center" vertical="center"/>
    </xf>
    <xf numFmtId="0" fontId="66" fillId="0" borderId="56" xfId="0" applyFont="1" applyBorder="1" applyAlignment="1">
      <alignment horizontal="left" vertical="center"/>
    </xf>
    <xf numFmtId="0" fontId="60" fillId="0" borderId="56" xfId="0" applyFont="1" applyBorder="1" applyAlignment="1">
      <alignment horizontal="center" vertical="center" wrapText="1"/>
    </xf>
    <xf numFmtId="180" fontId="66" fillId="0" borderId="56" xfId="1" applyNumberFormat="1" applyFont="1" applyFill="1" applyBorder="1" applyAlignment="1">
      <alignment horizontal="center" vertical="center"/>
    </xf>
    <xf numFmtId="180" fontId="60" fillId="0" borderId="56" xfId="1" applyNumberFormat="1" applyFont="1" applyFill="1" applyBorder="1" applyAlignment="1">
      <alignment horizontal="center" vertical="center"/>
    </xf>
    <xf numFmtId="184" fontId="60" fillId="11" borderId="56" xfId="0" applyNumberFormat="1" applyFont="1" applyFill="1" applyBorder="1" applyAlignment="1">
      <alignment horizontal="left" vertical="center"/>
    </xf>
    <xf numFmtId="184" fontId="60" fillId="0" borderId="56" xfId="0" applyNumberFormat="1" applyFont="1" applyBorder="1" applyAlignment="1">
      <alignment horizontal="left" vertical="center"/>
    </xf>
    <xf numFmtId="0" fontId="66" fillId="0" borderId="56" xfId="0" applyFont="1" applyBorder="1" applyAlignment="1">
      <alignment horizontal="center" vertical="center"/>
    </xf>
    <xf numFmtId="178" fontId="66" fillId="0" borderId="56" xfId="0" applyNumberFormat="1" applyFont="1" applyBorder="1" applyAlignment="1">
      <alignment horizontal="center" vertical="center"/>
    </xf>
    <xf numFmtId="192" fontId="66" fillId="0" borderId="56" xfId="0" applyNumberFormat="1" applyFont="1" applyBorder="1" applyAlignment="1">
      <alignment horizontal="center" vertical="center"/>
    </xf>
    <xf numFmtId="0" fontId="66" fillId="0" borderId="56" xfId="0" applyFont="1" applyBorder="1" applyAlignment="1">
      <alignment vertical="center" wrapText="1"/>
    </xf>
    <xf numFmtId="178" fontId="66" fillId="0" borderId="1" xfId="4" applyNumberFormat="1" applyFont="1" applyBorder="1">
      <alignment vertical="center"/>
    </xf>
    <xf numFmtId="187" fontId="66" fillId="11" borderId="56" xfId="139" applyFont="1" applyFill="1" applyBorder="1" applyAlignment="1">
      <alignment horizontal="left" vertical="center" shrinkToFit="1"/>
    </xf>
    <xf numFmtId="180" fontId="66" fillId="0" borderId="56" xfId="4" applyNumberFormat="1" applyFont="1" applyFill="1" applyBorder="1" applyAlignment="1">
      <alignment vertical="center" shrinkToFit="1"/>
    </xf>
    <xf numFmtId="180" fontId="66" fillId="0" borderId="0" xfId="1" applyNumberFormat="1" applyFont="1" applyAlignment="1">
      <alignment vertical="center" shrinkToFit="1"/>
    </xf>
    <xf numFmtId="43" fontId="66" fillId="11" borderId="56" xfId="4" applyNumberFormat="1" applyFont="1" applyFill="1" applyBorder="1" applyAlignment="1">
      <alignment vertical="center" shrinkToFit="1"/>
    </xf>
    <xf numFmtId="180" fontId="66" fillId="23" borderId="56" xfId="4" applyNumberFormat="1" applyFont="1" applyFill="1" applyBorder="1" applyAlignment="1">
      <alignment vertical="center" shrinkToFit="1"/>
    </xf>
    <xf numFmtId="180" fontId="66" fillId="23" borderId="0" xfId="1" applyNumberFormat="1" applyFont="1" applyFill="1">
      <alignment vertical="center"/>
    </xf>
    <xf numFmtId="0" fontId="66" fillId="10" borderId="56" xfId="0" applyFont="1" applyFill="1" applyBorder="1" applyAlignment="1">
      <alignment horizontal="left" vertical="center"/>
    </xf>
    <xf numFmtId="184" fontId="60" fillId="10" borderId="56" xfId="0" applyNumberFormat="1" applyFont="1" applyFill="1" applyBorder="1" applyAlignment="1">
      <alignment horizontal="left" vertical="center"/>
    </xf>
    <xf numFmtId="0" fontId="60" fillId="10" borderId="56" xfId="0" applyFont="1" applyFill="1" applyBorder="1" applyAlignment="1">
      <alignment horizontal="center" vertical="center" wrapText="1"/>
    </xf>
    <xf numFmtId="180" fontId="66" fillId="10" borderId="56" xfId="1" applyNumberFormat="1" applyFont="1" applyFill="1" applyBorder="1" applyAlignment="1">
      <alignment horizontal="center" vertical="center" wrapText="1" shrinkToFit="1"/>
    </xf>
    <xf numFmtId="41" fontId="66" fillId="10" borderId="56" xfId="1" applyFont="1" applyFill="1" applyBorder="1" applyAlignment="1">
      <alignment horizontal="center" vertical="center" wrapText="1" shrinkToFit="1"/>
    </xf>
    <xf numFmtId="180" fontId="66" fillId="10" borderId="56" xfId="1" applyNumberFormat="1" applyFont="1" applyFill="1" applyBorder="1" applyAlignment="1">
      <alignment horizontal="center" vertical="center"/>
    </xf>
    <xf numFmtId="180" fontId="66" fillId="10" borderId="56" xfId="4" applyNumberFormat="1" applyFont="1" applyFill="1" applyBorder="1" applyAlignment="1">
      <alignment vertical="center" shrinkToFit="1"/>
    </xf>
    <xf numFmtId="187" fontId="66" fillId="10" borderId="56" xfId="139" applyFont="1" applyFill="1" applyBorder="1" applyAlignment="1">
      <alignment horizontal="left" vertical="center" shrinkToFit="1"/>
    </xf>
    <xf numFmtId="187" fontId="66" fillId="10" borderId="56" xfId="139" quotePrefix="1" applyFont="1" applyFill="1" applyBorder="1" applyAlignment="1">
      <alignment vertical="center" shrinkToFit="1"/>
    </xf>
    <xf numFmtId="180" fontId="66" fillId="11" borderId="0" xfId="1" applyNumberFormat="1" applyFont="1" applyFill="1">
      <alignment vertical="center"/>
    </xf>
    <xf numFmtId="4" fontId="23" fillId="0" borderId="0" xfId="0" applyNumberFormat="1" applyFont="1">
      <alignment vertical="center"/>
    </xf>
    <xf numFmtId="180" fontId="66" fillId="0" borderId="56" xfId="1" applyNumberFormat="1" applyFont="1" applyFill="1" applyBorder="1" applyAlignment="1">
      <alignment horizontal="center" vertical="center" wrapText="1" shrinkToFit="1"/>
    </xf>
    <xf numFmtId="41" fontId="66" fillId="0" borderId="56" xfId="1" applyFont="1" applyFill="1" applyBorder="1" applyAlignment="1">
      <alignment horizontal="center" vertical="center" wrapText="1" shrinkToFit="1"/>
    </xf>
    <xf numFmtId="0" fontId="66" fillId="11" borderId="56" xfId="0" applyFont="1" applyFill="1" applyBorder="1" applyAlignment="1">
      <alignment horizontal="left" vertical="center"/>
    </xf>
    <xf numFmtId="178" fontId="101" fillId="11" borderId="1" xfId="0" applyNumberFormat="1" applyFont="1" applyFill="1" applyBorder="1" applyAlignment="1">
      <alignment horizontal="center" vertical="center"/>
    </xf>
    <xf numFmtId="180" fontId="60" fillId="11" borderId="56" xfId="4" applyNumberFormat="1" applyFont="1" applyFill="1" applyBorder="1" applyAlignment="1">
      <alignment vertical="center" shrinkToFit="1"/>
    </xf>
    <xf numFmtId="180" fontId="73" fillId="0" borderId="56" xfId="4" applyNumberFormat="1" applyFont="1" applyFill="1" applyBorder="1" applyAlignment="1">
      <alignment vertical="center" shrinkToFit="1"/>
    </xf>
    <xf numFmtId="184" fontId="73" fillId="0" borderId="56" xfId="0" applyNumberFormat="1" applyFont="1" applyBorder="1" applyAlignment="1">
      <alignment horizontal="left" vertical="center"/>
    </xf>
    <xf numFmtId="187" fontId="105" fillId="0" borderId="56" xfId="139" quotePrefix="1" applyFont="1" applyBorder="1" applyAlignment="1">
      <alignment vertical="center" shrinkToFit="1"/>
    </xf>
    <xf numFmtId="189" fontId="54" fillId="17" borderId="94" xfId="139" applyNumberFormat="1" applyFont="1" applyFill="1" applyBorder="1" applyAlignment="1">
      <alignment horizontal="center" vertical="center"/>
    </xf>
    <xf numFmtId="187" fontId="54" fillId="17" borderId="94" xfId="139" applyFont="1" applyFill="1" applyBorder="1">
      <alignment vertical="center"/>
    </xf>
    <xf numFmtId="187" fontId="54" fillId="17" borderId="94" xfId="139" applyFont="1" applyFill="1" applyBorder="1" applyAlignment="1">
      <alignment horizontal="left" vertical="center"/>
    </xf>
    <xf numFmtId="187" fontId="54" fillId="17" borderId="94" xfId="139" applyFont="1" applyFill="1" applyBorder="1" applyAlignment="1">
      <alignment horizontal="center" vertical="center"/>
    </xf>
    <xf numFmtId="187" fontId="54" fillId="17" borderId="94" xfId="139" applyFont="1" applyFill="1" applyBorder="1" applyAlignment="1">
      <alignment vertical="center" shrinkToFit="1"/>
    </xf>
    <xf numFmtId="180" fontId="54" fillId="17" borderId="94" xfId="139" applyNumberFormat="1" applyFont="1" applyFill="1" applyBorder="1">
      <alignment vertical="center"/>
    </xf>
    <xf numFmtId="180" fontId="54" fillId="17" borderId="94" xfId="4" applyNumberFormat="1" applyFont="1" applyFill="1" applyBorder="1">
      <alignment vertical="center"/>
    </xf>
    <xf numFmtId="180" fontId="54" fillId="17" borderId="94" xfId="1" applyNumberFormat="1" applyFont="1" applyFill="1" applyBorder="1">
      <alignment vertical="center"/>
    </xf>
    <xf numFmtId="180" fontId="81" fillId="17" borderId="94" xfId="1" applyNumberFormat="1" applyFont="1" applyFill="1" applyBorder="1">
      <alignment vertical="center"/>
    </xf>
    <xf numFmtId="180" fontId="75" fillId="17" borderId="94" xfId="1" applyNumberFormat="1" applyFont="1" applyFill="1" applyBorder="1">
      <alignment vertical="center"/>
    </xf>
    <xf numFmtId="190" fontId="75" fillId="17" borderId="94" xfId="139" applyNumberFormat="1" applyFont="1" applyFill="1" applyBorder="1" applyAlignment="1">
      <alignment horizontal="left" vertical="center"/>
    </xf>
    <xf numFmtId="187" fontId="66" fillId="17" borderId="94" xfId="139" applyFont="1" applyFill="1" applyBorder="1" applyAlignment="1">
      <alignment vertical="center" shrinkToFit="1"/>
    </xf>
    <xf numFmtId="0" fontId="96" fillId="0" borderId="56" xfId="0" applyFont="1" applyBorder="1" applyAlignment="1">
      <alignment horizontal="left" vertical="center"/>
    </xf>
    <xf numFmtId="0" fontId="60" fillId="0" borderId="56" xfId="0" applyFont="1" applyBorder="1">
      <alignment vertical="center"/>
    </xf>
    <xf numFmtId="0" fontId="106" fillId="0" borderId="56" xfId="0" applyFont="1" applyBorder="1">
      <alignment vertical="center"/>
    </xf>
    <xf numFmtId="178" fontId="101" fillId="0" borderId="56" xfId="0" applyNumberFormat="1" applyFont="1" applyBorder="1" applyAlignment="1">
      <alignment horizontal="center" vertical="center"/>
    </xf>
    <xf numFmtId="187" fontId="73" fillId="0" borderId="56" xfId="139" applyFont="1" applyBorder="1">
      <alignment vertical="center"/>
    </xf>
    <xf numFmtId="178" fontId="96" fillId="0" borderId="56" xfId="0" applyNumberFormat="1" applyFont="1" applyBorder="1" applyAlignment="1">
      <alignment horizontal="center" vertical="center"/>
    </xf>
    <xf numFmtId="0" fontId="102" fillId="0" borderId="56" xfId="0" applyFont="1" applyBorder="1" applyAlignment="1">
      <alignment horizontal="center" vertical="center"/>
    </xf>
    <xf numFmtId="0" fontId="96" fillId="0" borderId="56" xfId="0" applyFont="1" applyBorder="1" applyAlignment="1">
      <alignment horizontal="center" vertical="center"/>
    </xf>
    <xf numFmtId="0" fontId="60" fillId="0" borderId="56" xfId="139" applyNumberFormat="1" applyFont="1" applyBorder="1" applyAlignment="1">
      <alignment horizontal="center" vertical="center" wrapText="1" shrinkToFit="1"/>
    </xf>
    <xf numFmtId="187" fontId="60" fillId="0" borderId="56" xfId="139" applyFont="1" applyBorder="1" applyAlignment="1">
      <alignment vertical="center" shrinkToFit="1"/>
    </xf>
    <xf numFmtId="43" fontId="60" fillId="0" borderId="0" xfId="139" applyNumberFormat="1" applyFont="1">
      <alignment vertical="center"/>
    </xf>
    <xf numFmtId="0" fontId="60" fillId="23" borderId="56" xfId="0" applyFont="1" applyFill="1" applyBorder="1">
      <alignment vertical="center"/>
    </xf>
    <xf numFmtId="184" fontId="60" fillId="23" borderId="56" xfId="0" applyNumberFormat="1" applyFont="1" applyFill="1" applyBorder="1" applyAlignment="1">
      <alignment horizontal="left" vertical="center"/>
    </xf>
    <xf numFmtId="0" fontId="60" fillId="23" borderId="56" xfId="0" applyFont="1" applyFill="1" applyBorder="1" applyAlignment="1">
      <alignment horizontal="center" vertical="center" wrapText="1"/>
    </xf>
    <xf numFmtId="0" fontId="60" fillId="23" borderId="56" xfId="139" applyNumberFormat="1" applyFont="1" applyFill="1" applyBorder="1" applyAlignment="1">
      <alignment horizontal="center" vertical="center" wrapText="1" shrinkToFit="1"/>
    </xf>
    <xf numFmtId="180" fontId="60" fillId="23" borderId="56" xfId="1" applyNumberFormat="1" applyFont="1" applyFill="1" applyBorder="1" applyAlignment="1">
      <alignment horizontal="center" vertical="center"/>
    </xf>
    <xf numFmtId="187" fontId="66" fillId="23" borderId="56" xfId="139" applyFont="1" applyFill="1" applyBorder="1" applyAlignment="1">
      <alignment horizontal="left" vertical="center" shrinkToFit="1"/>
    </xf>
    <xf numFmtId="180" fontId="66" fillId="8" borderId="56" xfId="4" applyNumberFormat="1" applyFont="1" applyFill="1" applyBorder="1" applyAlignment="1">
      <alignment vertical="center" shrinkToFit="1"/>
    </xf>
    <xf numFmtId="0" fontId="60" fillId="0" borderId="56" xfId="0" applyFont="1" applyBorder="1" applyAlignment="1">
      <alignment horizontal="left" vertical="center"/>
    </xf>
    <xf numFmtId="4" fontId="65" fillId="0" borderId="0" xfId="0" applyNumberFormat="1" applyFont="1">
      <alignment vertical="center"/>
    </xf>
    <xf numFmtId="0" fontId="66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78" fontId="60" fillId="0" borderId="56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73" fillId="0" borderId="56" xfId="0" applyFont="1" applyBorder="1" applyAlignment="1">
      <alignment horizontal="center" vertical="center"/>
    </xf>
    <xf numFmtId="0" fontId="108" fillId="0" borderId="0" xfId="138" applyNumberFormat="1" applyFont="1" applyAlignment="1">
      <alignment vertical="center"/>
    </xf>
    <xf numFmtId="184" fontId="108" fillId="0" borderId="0" xfId="138" applyNumberFormat="1" applyFont="1" applyAlignment="1">
      <alignment horizontal="center" vertical="center"/>
    </xf>
    <xf numFmtId="187" fontId="108" fillId="0" borderId="0" xfId="138" applyFont="1" applyAlignment="1">
      <alignment horizontal="center" vertical="center"/>
    </xf>
    <xf numFmtId="179" fontId="108" fillId="0" borderId="0" xfId="4" applyNumberFormat="1" applyFont="1" applyFill="1" applyAlignment="1">
      <alignment vertical="center"/>
    </xf>
    <xf numFmtId="188" fontId="108" fillId="0" borderId="0" xfId="4" applyNumberFormat="1" applyFont="1" applyFill="1" applyAlignment="1">
      <alignment vertical="center" shrinkToFit="1"/>
    </xf>
    <xf numFmtId="179" fontId="108" fillId="0" borderId="0" xfId="4" applyNumberFormat="1" applyFont="1" applyFill="1" applyAlignment="1">
      <alignment vertical="center" shrinkToFit="1"/>
    </xf>
    <xf numFmtId="179" fontId="108" fillId="0" borderId="0" xfId="4" applyNumberFormat="1" applyFont="1" applyFill="1" applyBorder="1" applyAlignment="1">
      <alignment vertical="center"/>
    </xf>
    <xf numFmtId="179" fontId="108" fillId="0" borderId="0" xfId="138" applyNumberFormat="1" applyFont="1" applyAlignment="1">
      <alignment vertical="center"/>
    </xf>
    <xf numFmtId="187" fontId="108" fillId="0" borderId="0" xfId="138" applyFont="1" applyAlignment="1">
      <alignment vertical="center"/>
    </xf>
    <xf numFmtId="187" fontId="108" fillId="0" borderId="0" xfId="138" applyFont="1" applyAlignment="1">
      <alignment vertical="center" shrinkToFit="1"/>
    </xf>
    <xf numFmtId="0" fontId="109" fillId="0" borderId="0" xfId="138" applyNumberFormat="1" applyFont="1" applyAlignment="1">
      <alignment vertical="center"/>
    </xf>
    <xf numFmtId="187" fontId="110" fillId="0" borderId="0" xfId="139" applyFont="1">
      <alignment vertical="center"/>
    </xf>
    <xf numFmtId="187" fontId="111" fillId="0" borderId="0" xfId="139" applyFont="1">
      <alignment vertical="center"/>
    </xf>
    <xf numFmtId="0" fontId="110" fillId="0" borderId="0" xfId="139" applyNumberFormat="1" applyFont="1">
      <alignment vertical="center"/>
    </xf>
    <xf numFmtId="184" fontId="112" fillId="0" borderId="0" xfId="139" applyNumberFormat="1" applyFont="1" applyAlignment="1">
      <alignment horizontal="left" vertical="center"/>
    </xf>
    <xf numFmtId="43" fontId="66" fillId="0" borderId="0" xfId="139" applyNumberFormat="1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87" fontId="66" fillId="0" borderId="0" xfId="139" applyFont="1" applyAlignment="1">
      <alignment horizontal="center" vertical="center"/>
    </xf>
    <xf numFmtId="180" fontId="66" fillId="0" borderId="0" xfId="4" applyNumberFormat="1" applyFont="1" applyFill="1" applyBorder="1">
      <alignment vertical="center"/>
    </xf>
    <xf numFmtId="180" fontId="82" fillId="0" borderId="0" xfId="1" applyNumberFormat="1" applyFont="1" applyAlignment="1">
      <alignment horizontal="right" vertical="center"/>
    </xf>
    <xf numFmtId="180" fontId="66" fillId="0" borderId="0" xfId="1" applyNumberFormat="1" applyFont="1" applyAlignment="1">
      <alignment horizontal="right" vertical="center"/>
    </xf>
    <xf numFmtId="0" fontId="66" fillId="10" borderId="1" xfId="0" applyFont="1" applyFill="1" applyBorder="1" applyAlignment="1">
      <alignment horizontal="center" vertical="center"/>
    </xf>
    <xf numFmtId="0" fontId="60" fillId="10" borderId="1" xfId="0" applyFont="1" applyFill="1" applyBorder="1" applyAlignment="1">
      <alignment horizontal="center" vertical="center" wrapText="1"/>
    </xf>
    <xf numFmtId="178" fontId="66" fillId="10" borderId="56" xfId="0" applyNumberFormat="1" applyFont="1" applyFill="1" applyBorder="1" applyAlignment="1">
      <alignment horizontal="center" vertical="center"/>
    </xf>
    <xf numFmtId="0" fontId="66" fillId="10" borderId="56" xfId="0" applyFont="1" applyFill="1" applyBorder="1" applyAlignment="1">
      <alignment horizontal="center" vertical="center"/>
    </xf>
    <xf numFmtId="184" fontId="66" fillId="8" borderId="56" xfId="139" applyNumberFormat="1" applyFont="1" applyFill="1" applyBorder="1" applyAlignment="1">
      <alignment horizontal="center" vertical="center" wrapText="1" shrinkToFit="1"/>
    </xf>
    <xf numFmtId="0" fontId="66" fillId="8" borderId="56" xfId="0" applyFont="1" applyFill="1" applyBorder="1" applyAlignment="1">
      <alignment horizontal="left" vertical="center"/>
    </xf>
    <xf numFmtId="0" fontId="66" fillId="8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center" vertical="center" wrapText="1"/>
    </xf>
    <xf numFmtId="0" fontId="66" fillId="8" borderId="56" xfId="139" applyNumberFormat="1" applyFont="1" applyFill="1" applyBorder="1" applyAlignment="1">
      <alignment horizontal="center" vertical="center" wrapText="1" shrinkToFit="1"/>
    </xf>
    <xf numFmtId="178" fontId="60" fillId="8" borderId="56" xfId="0" applyNumberFormat="1" applyFont="1" applyFill="1" applyBorder="1" applyAlignment="1">
      <alignment horizontal="center" vertical="center"/>
    </xf>
    <xf numFmtId="187" fontId="73" fillId="8" borderId="56" xfId="139" applyFont="1" applyFill="1" applyBorder="1">
      <alignment vertical="center"/>
    </xf>
    <xf numFmtId="180" fontId="66" fillId="8" borderId="56" xfId="1" applyNumberFormat="1" applyFont="1" applyFill="1" applyBorder="1" applyAlignment="1">
      <alignment horizontal="center" vertical="center"/>
    </xf>
    <xf numFmtId="183" fontId="60" fillId="8" borderId="56" xfId="4" applyNumberFormat="1" applyFont="1" applyFill="1" applyBorder="1" applyAlignment="1">
      <alignment horizontal="right" vertical="center" shrinkToFit="1"/>
    </xf>
    <xf numFmtId="187" fontId="66" fillId="8" borderId="56" xfId="139" applyFont="1" applyFill="1" applyBorder="1" applyAlignment="1">
      <alignment horizontal="left" vertical="center" shrinkToFit="1"/>
    </xf>
    <xf numFmtId="187" fontId="66" fillId="8" borderId="56" xfId="139" quotePrefix="1" applyFont="1" applyFill="1" applyBorder="1" applyAlignment="1">
      <alignment vertical="center" shrinkToFit="1"/>
    </xf>
    <xf numFmtId="0" fontId="60" fillId="8" borderId="1" xfId="0" applyFont="1" applyFill="1" applyBorder="1" applyAlignment="1">
      <alignment horizontal="center" vertical="center"/>
    </xf>
    <xf numFmtId="184" fontId="66" fillId="18" borderId="56" xfId="139" applyNumberFormat="1" applyFont="1" applyFill="1" applyBorder="1" applyAlignment="1">
      <alignment horizontal="center" vertical="center" wrapText="1" shrinkToFit="1"/>
    </xf>
    <xf numFmtId="0" fontId="66" fillId="18" borderId="56" xfId="0" applyFont="1" applyFill="1" applyBorder="1" applyAlignment="1">
      <alignment horizontal="left" vertical="center"/>
    </xf>
    <xf numFmtId="184" fontId="60" fillId="18" borderId="56" xfId="0" applyNumberFormat="1" applyFont="1" applyFill="1" applyBorder="1" applyAlignment="1">
      <alignment horizontal="left" vertical="center"/>
    </xf>
    <xf numFmtId="0" fontId="60" fillId="18" borderId="56" xfId="0" applyFont="1" applyFill="1" applyBorder="1" applyAlignment="1">
      <alignment horizontal="center" vertical="center" wrapText="1"/>
    </xf>
    <xf numFmtId="0" fontId="66" fillId="18" borderId="56" xfId="139" applyNumberFormat="1" applyFont="1" applyFill="1" applyBorder="1" applyAlignment="1">
      <alignment horizontal="center" vertical="center" wrapText="1" shrinkToFit="1"/>
    </xf>
    <xf numFmtId="180" fontId="66" fillId="18" borderId="56" xfId="1" applyNumberFormat="1" applyFont="1" applyFill="1" applyBorder="1" applyAlignment="1">
      <alignment horizontal="center" vertical="center"/>
    </xf>
    <xf numFmtId="183" fontId="60" fillId="18" borderId="56" xfId="4" applyNumberFormat="1" applyFont="1" applyFill="1" applyBorder="1" applyAlignment="1">
      <alignment horizontal="right" vertical="center" shrinkToFit="1"/>
    </xf>
    <xf numFmtId="180" fontId="66" fillId="18" borderId="56" xfId="4" applyNumberFormat="1" applyFont="1" applyFill="1" applyBorder="1" applyAlignment="1">
      <alignment vertical="center" shrinkToFit="1"/>
    </xf>
    <xf numFmtId="187" fontId="66" fillId="18" borderId="56" xfId="139" applyFont="1" applyFill="1" applyBorder="1" applyAlignment="1">
      <alignment horizontal="left" vertical="center" shrinkToFit="1"/>
    </xf>
    <xf numFmtId="187" fontId="66" fillId="18" borderId="56" xfId="139" quotePrefix="1" applyFont="1" applyFill="1" applyBorder="1" applyAlignment="1">
      <alignment vertical="center" shrinkToFit="1"/>
    </xf>
    <xf numFmtId="41" fontId="65" fillId="0" borderId="0" xfId="139" applyNumberFormat="1" applyFont="1">
      <alignment vertical="center"/>
    </xf>
    <xf numFmtId="41" fontId="66" fillId="18" borderId="56" xfId="1" applyFont="1" applyFill="1" applyBorder="1" applyAlignment="1">
      <alignment horizontal="center" vertical="center" wrapText="1" shrinkToFit="1"/>
    </xf>
    <xf numFmtId="184" fontId="76" fillId="2" borderId="56" xfId="4" applyNumberFormat="1" applyFont="1" applyFill="1" applyBorder="1" applyAlignment="1">
      <alignment horizontal="center" vertical="center"/>
    </xf>
    <xf numFmtId="179" fontId="76" fillId="2" borderId="56" xfId="4" applyNumberFormat="1" applyFont="1" applyFill="1" applyBorder="1" applyAlignment="1">
      <alignment horizontal="center" vertical="center"/>
    </xf>
    <xf numFmtId="187" fontId="76" fillId="2" borderId="56" xfId="4" applyNumberFormat="1" applyFont="1" applyFill="1" applyBorder="1" applyAlignment="1">
      <alignment horizontal="center" vertical="center"/>
    </xf>
    <xf numFmtId="179" fontId="76" fillId="2" borderId="56" xfId="4" applyNumberFormat="1" applyFont="1" applyFill="1" applyBorder="1" applyAlignment="1">
      <alignment horizontal="center" vertical="center" shrinkToFit="1"/>
    </xf>
    <xf numFmtId="184" fontId="53" fillId="2" borderId="56" xfId="4" applyNumberFormat="1" applyFont="1" applyFill="1" applyBorder="1" applyAlignment="1">
      <alignment horizontal="center" vertical="center"/>
    </xf>
    <xf numFmtId="179" fontId="53" fillId="2" borderId="56" xfId="4" applyNumberFormat="1" applyFont="1" applyFill="1" applyBorder="1" applyAlignment="1">
      <alignment horizontal="center" vertical="center"/>
    </xf>
    <xf numFmtId="187" fontId="53" fillId="2" borderId="56" xfId="4" applyNumberFormat="1" applyFont="1" applyFill="1" applyBorder="1" applyAlignment="1">
      <alignment horizontal="center" vertical="center"/>
    </xf>
    <xf numFmtId="179" fontId="53" fillId="2" borderId="56" xfId="4" applyNumberFormat="1" applyFont="1" applyFill="1" applyBorder="1" applyAlignment="1">
      <alignment horizontal="center" vertical="center" shrinkToFit="1"/>
    </xf>
    <xf numFmtId="180" fontId="53" fillId="2" borderId="56" xfId="4" applyNumberFormat="1" applyFont="1" applyFill="1" applyBorder="1" applyAlignment="1">
      <alignment horizontal="center" vertical="center"/>
    </xf>
    <xf numFmtId="180" fontId="53" fillId="2" borderId="56" xfId="4" applyNumberFormat="1" applyFont="1" applyFill="1" applyBorder="1" applyAlignment="1">
      <alignment horizontal="center" vertical="center" shrinkToFit="1"/>
    </xf>
    <xf numFmtId="179" fontId="53" fillId="2" borderId="56" xfId="139" applyNumberFormat="1" applyFont="1" applyFill="1" applyBorder="1" applyAlignment="1">
      <alignment horizontal="center" vertical="center"/>
    </xf>
    <xf numFmtId="0" fontId="66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/>
    </xf>
    <xf numFmtId="184" fontId="54" fillId="0" borderId="0" xfId="139" applyNumberFormat="1" applyFont="1" applyAlignment="1">
      <alignment horizontal="left" vertical="center"/>
    </xf>
    <xf numFmtId="184" fontId="66" fillId="8" borderId="56" xfId="0" applyNumberFormat="1" applyFont="1" applyFill="1" applyBorder="1" applyAlignment="1">
      <alignment horizontal="center" vertical="center"/>
    </xf>
    <xf numFmtId="184" fontId="66" fillId="0" borderId="56" xfId="0" applyNumberFormat="1" applyFont="1" applyBorder="1" applyAlignment="1">
      <alignment horizontal="center" vertical="center"/>
    </xf>
    <xf numFmtId="185" fontId="66" fillId="0" borderId="56" xfId="0" applyNumberFormat="1" applyFont="1" applyBorder="1" applyAlignment="1">
      <alignment horizontal="center" vertical="center"/>
    </xf>
    <xf numFmtId="180" fontId="60" fillId="0" borderId="56" xfId="1" applyNumberFormat="1" applyFont="1" applyFill="1" applyBorder="1" applyAlignment="1">
      <alignment horizontal="center" vertical="center" wrapText="1"/>
    </xf>
    <xf numFmtId="180" fontId="60" fillId="0" borderId="56" xfId="1" applyNumberFormat="1" applyFont="1" applyFill="1" applyBorder="1" applyAlignment="1">
      <alignment horizontal="center" vertical="center" wrapText="1" shrinkToFit="1"/>
    </xf>
    <xf numFmtId="187" fontId="60" fillId="0" borderId="1" xfId="139" applyFont="1" applyBorder="1" applyAlignment="1">
      <alignment horizontal="left" vertical="center"/>
    </xf>
    <xf numFmtId="41" fontId="60" fillId="0" borderId="1" xfId="4" applyFont="1" applyFill="1" applyBorder="1" applyAlignment="1">
      <alignment vertical="center" shrinkToFit="1"/>
    </xf>
    <xf numFmtId="187" fontId="60" fillId="0" borderId="1" xfId="139" applyFont="1" applyBorder="1">
      <alignment vertical="center"/>
    </xf>
    <xf numFmtId="187" fontId="60" fillId="3" borderId="1" xfId="139" applyFont="1" applyFill="1" applyBorder="1">
      <alignment vertical="center"/>
    </xf>
    <xf numFmtId="180" fontId="60" fillId="3" borderId="1" xfId="4" applyNumberFormat="1" applyFont="1" applyFill="1" applyBorder="1">
      <alignment vertical="center"/>
    </xf>
    <xf numFmtId="41" fontId="60" fillId="3" borderId="1" xfId="4" applyFont="1" applyFill="1" applyBorder="1" applyAlignment="1">
      <alignment vertical="center" shrinkToFit="1"/>
    </xf>
    <xf numFmtId="180" fontId="60" fillId="0" borderId="1" xfId="4" applyNumberFormat="1" applyFont="1" applyBorder="1" applyAlignment="1">
      <alignment vertical="center" shrinkToFit="1"/>
    </xf>
    <xf numFmtId="187" fontId="60" fillId="0" borderId="0" xfId="138" applyFont="1" applyAlignment="1">
      <alignment horizontal="left" vertical="center"/>
    </xf>
    <xf numFmtId="179" fontId="53" fillId="2" borderId="1" xfId="4" applyNumberFormat="1" applyFont="1" applyFill="1" applyBorder="1" applyAlignment="1">
      <alignment horizontal="left" vertical="center"/>
    </xf>
    <xf numFmtId="187" fontId="66" fillId="3" borderId="1" xfId="139" applyFont="1" applyFill="1" applyBorder="1" applyAlignment="1">
      <alignment horizontal="left" vertical="center"/>
    </xf>
    <xf numFmtId="187" fontId="53" fillId="2" borderId="4" xfId="139" applyFont="1" applyFill="1" applyBorder="1" applyAlignment="1">
      <alignment horizontal="left" vertical="center" shrinkToFit="1"/>
    </xf>
    <xf numFmtId="179" fontId="76" fillId="2" borderId="56" xfId="4" applyNumberFormat="1" applyFont="1" applyFill="1" applyBorder="1" applyAlignment="1">
      <alignment horizontal="left" vertical="center"/>
    </xf>
    <xf numFmtId="179" fontId="53" fillId="2" borderId="56" xfId="4" applyNumberFormat="1" applyFont="1" applyFill="1" applyBorder="1" applyAlignment="1">
      <alignment horizontal="left" vertical="center"/>
    </xf>
    <xf numFmtId="179" fontId="60" fillId="0" borderId="0" xfId="4" applyNumberFormat="1" applyFont="1" applyFill="1" applyAlignment="1">
      <alignment horizontal="center" vertical="center" shrinkToFit="1"/>
    </xf>
    <xf numFmtId="180" fontId="66" fillId="0" borderId="0" xfId="4" applyNumberFormat="1" applyFont="1" applyAlignment="1">
      <alignment horizontal="center" vertical="center" shrinkToFit="1"/>
    </xf>
    <xf numFmtId="179" fontId="72" fillId="0" borderId="0" xfId="4" applyNumberFormat="1" applyFont="1" applyFill="1" applyAlignment="1">
      <alignment horizontal="center" vertical="center" shrinkToFit="1"/>
    </xf>
    <xf numFmtId="180" fontId="60" fillId="0" borderId="1" xfId="4" applyNumberFormat="1" applyFont="1" applyBorder="1" applyAlignment="1">
      <alignment horizontal="center" vertical="center"/>
    </xf>
    <xf numFmtId="180" fontId="60" fillId="0" borderId="1" xfId="4" applyNumberFormat="1" applyFont="1" applyFill="1" applyBorder="1" applyAlignment="1">
      <alignment horizontal="center" vertical="center"/>
    </xf>
    <xf numFmtId="180" fontId="73" fillId="3" borderId="1" xfId="4" applyNumberFormat="1" applyFont="1" applyFill="1" applyBorder="1" applyAlignment="1">
      <alignment horizontal="center" vertical="center"/>
    </xf>
    <xf numFmtId="180" fontId="66" fillId="0" borderId="1" xfId="4" applyNumberFormat="1" applyFont="1" applyBorder="1" applyAlignment="1">
      <alignment horizontal="center" vertical="center"/>
    </xf>
    <xf numFmtId="180" fontId="66" fillId="0" borderId="0" xfId="1" applyNumberFormat="1" applyFont="1" applyAlignment="1">
      <alignment horizontal="center" vertical="center" shrinkToFit="1"/>
    </xf>
    <xf numFmtId="180" fontId="82" fillId="0" borderId="0" xfId="1" applyNumberFormat="1" applyFont="1" applyAlignment="1">
      <alignment horizontal="center" vertical="center"/>
    </xf>
    <xf numFmtId="180" fontId="54" fillId="17" borderId="56" xfId="4" applyNumberFormat="1" applyFont="1" applyFill="1" applyBorder="1" applyAlignment="1">
      <alignment horizontal="center" vertical="center"/>
    </xf>
    <xf numFmtId="178" fontId="60" fillId="11" borderId="56" xfId="0" applyNumberFormat="1" applyFont="1" applyFill="1" applyBorder="1" applyAlignment="1">
      <alignment horizontal="center" vertical="center"/>
    </xf>
    <xf numFmtId="180" fontId="96" fillId="0" borderId="56" xfId="1" applyNumberFormat="1" applyFont="1" applyBorder="1" applyAlignment="1">
      <alignment horizontal="center" vertical="center"/>
    </xf>
    <xf numFmtId="178" fontId="96" fillId="11" borderId="56" xfId="0" applyNumberFormat="1" applyFont="1" applyFill="1" applyBorder="1" applyAlignment="1">
      <alignment horizontal="center" vertical="center"/>
    </xf>
    <xf numFmtId="180" fontId="53" fillId="2" borderId="56" xfId="1" applyNumberFormat="1" applyFont="1" applyFill="1" applyBorder="1" applyAlignment="1">
      <alignment horizontal="center" vertical="center"/>
    </xf>
    <xf numFmtId="180" fontId="66" fillId="4" borderId="0" xfId="1" applyNumberFormat="1" applyFont="1" applyFill="1">
      <alignment vertical="center"/>
    </xf>
    <xf numFmtId="186" fontId="66" fillId="11" borderId="56" xfId="4" applyNumberFormat="1" applyFont="1" applyFill="1" applyBorder="1" applyAlignment="1">
      <alignment vertical="center" shrinkToFit="1"/>
    </xf>
    <xf numFmtId="180" fontId="60" fillId="0" borderId="0" xfId="4" applyNumberFormat="1" applyFont="1" applyAlignment="1">
      <alignment horizontal="left" vertical="center"/>
    </xf>
    <xf numFmtId="180" fontId="115" fillId="2" borderId="1" xfId="4" applyNumberFormat="1" applyFont="1" applyFill="1" applyBorder="1" applyAlignment="1">
      <alignment vertical="center" shrinkToFit="1"/>
    </xf>
    <xf numFmtId="41" fontId="60" fillId="0" borderId="0" xfId="1" applyFont="1" applyAlignment="1">
      <alignment horizontal="left" vertical="center"/>
    </xf>
    <xf numFmtId="180" fontId="66" fillId="11" borderId="56" xfId="1" applyNumberFormat="1" applyFont="1" applyFill="1" applyBorder="1" applyAlignment="1">
      <alignment vertical="center" shrinkToFit="1"/>
    </xf>
    <xf numFmtId="180" fontId="60" fillId="11" borderId="56" xfId="1" applyNumberFormat="1" applyFont="1" applyFill="1" applyBorder="1" applyAlignment="1">
      <alignment vertical="center" shrinkToFit="1"/>
    </xf>
    <xf numFmtId="180" fontId="60" fillId="9" borderId="56" xfId="4" applyNumberFormat="1" applyFont="1" applyFill="1" applyBorder="1" applyAlignment="1">
      <alignment vertical="center" shrinkToFit="1"/>
    </xf>
    <xf numFmtId="184" fontId="66" fillId="11" borderId="56" xfId="0" applyNumberFormat="1" applyFont="1" applyFill="1" applyBorder="1" applyAlignment="1">
      <alignment horizontal="center" vertical="center"/>
    </xf>
    <xf numFmtId="0" fontId="66" fillId="11" borderId="56" xfId="0" applyFont="1" applyFill="1" applyBorder="1" applyAlignment="1">
      <alignment horizontal="center" vertical="center"/>
    </xf>
    <xf numFmtId="180" fontId="60" fillId="4" borderId="56" xfId="4" applyNumberFormat="1" applyFont="1" applyFill="1" applyBorder="1" applyAlignment="1">
      <alignment vertical="center" shrinkToFit="1"/>
    </xf>
    <xf numFmtId="0" fontId="116" fillId="0" borderId="56" xfId="0" applyFont="1" applyBorder="1" applyAlignment="1">
      <alignment horizontal="left" vertical="center"/>
    </xf>
    <xf numFmtId="0" fontId="96" fillId="11" borderId="56" xfId="0" applyFont="1" applyFill="1" applyBorder="1" applyAlignment="1">
      <alignment horizontal="left" vertical="center"/>
    </xf>
    <xf numFmtId="178" fontId="101" fillId="11" borderId="56" xfId="0" applyNumberFormat="1" applyFont="1" applyFill="1" applyBorder="1" applyAlignment="1">
      <alignment horizontal="center" vertical="center"/>
    </xf>
    <xf numFmtId="187" fontId="73" fillId="11" borderId="56" xfId="139" applyFont="1" applyFill="1" applyBorder="1">
      <alignment vertical="center"/>
    </xf>
    <xf numFmtId="0" fontId="96" fillId="0" borderId="56" xfId="0" applyFont="1" applyBorder="1" applyAlignment="1">
      <alignment horizontal="center" vertical="center" wrapText="1"/>
    </xf>
    <xf numFmtId="187" fontId="66" fillId="0" borderId="56" xfId="139" quotePrefix="1" applyFont="1" applyBorder="1" applyAlignment="1">
      <alignment horizontal="left" vertical="center" shrinkToFit="1"/>
    </xf>
    <xf numFmtId="0" fontId="97" fillId="0" borderId="56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left" vertical="center"/>
    </xf>
    <xf numFmtId="0" fontId="79" fillId="0" borderId="56" xfId="0" applyFont="1" applyBorder="1" applyAlignment="1">
      <alignment horizontal="left" vertical="center" wrapText="1"/>
    </xf>
    <xf numFmtId="180" fontId="54" fillId="17" borderId="56" xfId="1" applyNumberFormat="1" applyFont="1" applyFill="1" applyBorder="1" applyAlignment="1">
      <alignment horizontal="center" vertical="center"/>
    </xf>
    <xf numFmtId="180" fontId="101" fillId="0" borderId="56" xfId="1" applyNumberFormat="1" applyFont="1" applyBorder="1" applyAlignment="1">
      <alignment horizontal="center" vertical="center"/>
    </xf>
    <xf numFmtId="180" fontId="60" fillId="11" borderId="56" xfId="1" applyNumberFormat="1" applyFont="1" applyFill="1" applyBorder="1" applyAlignment="1">
      <alignment horizontal="center" vertical="center"/>
    </xf>
    <xf numFmtId="180" fontId="66" fillId="0" borderId="56" xfId="1" applyNumberFormat="1" applyFont="1" applyBorder="1" applyAlignment="1">
      <alignment horizontal="center" vertical="center"/>
    </xf>
    <xf numFmtId="0" fontId="66" fillId="11" borderId="0" xfId="139" applyNumberFormat="1" applyFont="1" applyFill="1">
      <alignment vertical="center"/>
    </xf>
    <xf numFmtId="187" fontId="66" fillId="11" borderId="0" xfId="139" applyFont="1" applyFill="1">
      <alignment vertical="center"/>
    </xf>
    <xf numFmtId="187" fontId="73" fillId="11" borderId="0" xfId="139" applyFont="1" applyFill="1">
      <alignment vertical="center"/>
    </xf>
    <xf numFmtId="180" fontId="101" fillId="0" borderId="56" xfId="1" applyNumberFormat="1" applyFont="1" applyFill="1" applyBorder="1" applyAlignment="1">
      <alignment horizontal="center" vertical="center"/>
    </xf>
    <xf numFmtId="180" fontId="96" fillId="0" borderId="56" xfId="1" applyNumberFormat="1" applyFont="1" applyBorder="1" applyAlignment="1">
      <alignment horizontal="center" vertical="center" wrapText="1"/>
    </xf>
    <xf numFmtId="184" fontId="66" fillId="11" borderId="94" xfId="0" applyNumberFormat="1" applyFont="1" applyFill="1" applyBorder="1" applyAlignment="1">
      <alignment horizontal="center" vertical="center"/>
    </xf>
    <xf numFmtId="0" fontId="66" fillId="11" borderId="94" xfId="0" applyFont="1" applyFill="1" applyBorder="1" applyAlignment="1">
      <alignment horizontal="center" vertical="center"/>
    </xf>
    <xf numFmtId="0" fontId="60" fillId="11" borderId="94" xfId="0" applyFont="1" applyFill="1" applyBorder="1" applyAlignment="1">
      <alignment horizontal="center" vertical="center" wrapText="1"/>
    </xf>
    <xf numFmtId="178" fontId="60" fillId="11" borderId="94" xfId="0" applyNumberFormat="1" applyFont="1" applyFill="1" applyBorder="1" applyAlignment="1">
      <alignment horizontal="center" vertical="center"/>
    </xf>
    <xf numFmtId="178" fontId="101" fillId="11" borderId="94" xfId="0" applyNumberFormat="1" applyFont="1" applyFill="1" applyBorder="1" applyAlignment="1">
      <alignment horizontal="center" vertical="center"/>
    </xf>
    <xf numFmtId="180" fontId="101" fillId="11" borderId="94" xfId="1" applyNumberFormat="1" applyFont="1" applyFill="1" applyBorder="1" applyAlignment="1">
      <alignment horizontal="center" vertical="center"/>
    </xf>
    <xf numFmtId="183" fontId="60" fillId="11" borderId="94" xfId="4" applyNumberFormat="1" applyFont="1" applyFill="1" applyBorder="1" applyAlignment="1">
      <alignment horizontal="right" vertical="center" shrinkToFit="1"/>
    </xf>
    <xf numFmtId="180" fontId="60" fillId="11" borderId="94" xfId="4" applyNumberFormat="1" applyFont="1" applyFill="1" applyBorder="1" applyAlignment="1">
      <alignment vertical="center" shrinkToFit="1"/>
    </xf>
    <xf numFmtId="180" fontId="66" fillId="11" borderId="94" xfId="4" applyNumberFormat="1" applyFont="1" applyFill="1" applyBorder="1" applyAlignment="1">
      <alignment vertical="center" shrinkToFit="1"/>
    </xf>
    <xf numFmtId="187" fontId="66" fillId="11" borderId="94" xfId="139" applyFont="1" applyFill="1" applyBorder="1" applyAlignment="1">
      <alignment horizontal="left" vertical="center" shrinkToFit="1"/>
    </xf>
    <xf numFmtId="187" fontId="66" fillId="11" borderId="94" xfId="139" quotePrefix="1" applyFont="1" applyFill="1" applyBorder="1" applyAlignment="1">
      <alignment vertical="center" shrinkToFit="1"/>
    </xf>
    <xf numFmtId="184" fontId="66" fillId="9" borderId="94" xfId="0" applyNumberFormat="1" applyFont="1" applyFill="1" applyBorder="1" applyAlignment="1">
      <alignment horizontal="center" vertical="center"/>
    </xf>
    <xf numFmtId="0" fontId="96" fillId="9" borderId="94" xfId="0" applyFont="1" applyFill="1" applyBorder="1" applyAlignment="1">
      <alignment horizontal="left" vertical="center"/>
    </xf>
    <xf numFmtId="187" fontId="66" fillId="9" borderId="94" xfId="139" applyFont="1" applyFill="1" applyBorder="1" applyAlignment="1">
      <alignment vertical="center" shrinkToFit="1"/>
    </xf>
    <xf numFmtId="0" fontId="66" fillId="9" borderId="94" xfId="0" applyFont="1" applyFill="1" applyBorder="1" applyAlignment="1">
      <alignment horizontal="center" vertical="center"/>
    </xf>
    <xf numFmtId="178" fontId="60" fillId="9" borderId="94" xfId="0" applyNumberFormat="1" applyFont="1" applyFill="1" applyBorder="1" applyAlignment="1">
      <alignment horizontal="center" vertical="center"/>
    </xf>
    <xf numFmtId="180" fontId="66" fillId="9" borderId="94" xfId="1" applyNumberFormat="1" applyFont="1" applyFill="1" applyBorder="1" applyAlignment="1">
      <alignment horizontal="center" vertical="center"/>
    </xf>
    <xf numFmtId="183" fontId="60" fillId="9" borderId="94" xfId="4" applyNumberFormat="1" applyFont="1" applyFill="1" applyBorder="1" applyAlignment="1">
      <alignment horizontal="right" vertical="center" shrinkToFit="1"/>
    </xf>
    <xf numFmtId="180" fontId="60" fillId="4" borderId="94" xfId="4" applyNumberFormat="1" applyFont="1" applyFill="1" applyBorder="1" applyAlignment="1">
      <alignment vertical="center" shrinkToFit="1"/>
    </xf>
    <xf numFmtId="180" fontId="66" fillId="9" borderId="94" xfId="4" applyNumberFormat="1" applyFont="1" applyFill="1" applyBorder="1" applyAlignment="1">
      <alignment vertical="center" shrinkToFit="1"/>
    </xf>
    <xf numFmtId="187" fontId="66" fillId="9" borderId="94" xfId="139" applyFont="1" applyFill="1" applyBorder="1" applyAlignment="1">
      <alignment horizontal="left" vertical="center" shrinkToFit="1"/>
    </xf>
    <xf numFmtId="187" fontId="66" fillId="9" borderId="94" xfId="139" quotePrefix="1" applyFont="1" applyFill="1" applyBorder="1" applyAlignment="1">
      <alignment vertical="center" shrinkToFit="1"/>
    </xf>
    <xf numFmtId="0" fontId="97" fillId="9" borderId="94" xfId="0" applyFont="1" applyFill="1" applyBorder="1" applyAlignment="1">
      <alignment horizontal="left" vertical="center"/>
    </xf>
    <xf numFmtId="184" fontId="66" fillId="0" borderId="89" xfId="0" applyNumberFormat="1" applyFont="1" applyBorder="1" applyAlignment="1">
      <alignment horizontal="center" vertical="center"/>
    </xf>
    <xf numFmtId="0" fontId="116" fillId="0" borderId="89" xfId="0" applyFont="1" applyBorder="1" applyAlignment="1">
      <alignment horizontal="left" vertical="center"/>
    </xf>
    <xf numFmtId="0" fontId="66" fillId="0" borderId="89" xfId="0" applyFont="1" applyBorder="1" applyAlignment="1">
      <alignment horizontal="center" vertical="center"/>
    </xf>
    <xf numFmtId="0" fontId="60" fillId="0" borderId="89" xfId="0" applyFont="1" applyBorder="1" applyAlignment="1">
      <alignment horizontal="center" vertical="center" wrapText="1"/>
    </xf>
    <xf numFmtId="178" fontId="60" fillId="0" borderId="89" xfId="0" applyNumberFormat="1" applyFont="1" applyBorder="1" applyAlignment="1">
      <alignment horizontal="center" vertical="center"/>
    </xf>
    <xf numFmtId="178" fontId="101" fillId="0" borderId="89" xfId="0" applyNumberFormat="1" applyFont="1" applyBorder="1" applyAlignment="1">
      <alignment horizontal="center" vertical="center"/>
    </xf>
    <xf numFmtId="180" fontId="101" fillId="0" borderId="89" xfId="1" applyNumberFormat="1" applyFont="1" applyFill="1" applyBorder="1" applyAlignment="1">
      <alignment horizontal="center" vertical="center"/>
    </xf>
    <xf numFmtId="183" fontId="60" fillId="0" borderId="89" xfId="4" applyNumberFormat="1" applyFont="1" applyFill="1" applyBorder="1" applyAlignment="1">
      <alignment horizontal="right" vertical="center" shrinkToFit="1"/>
    </xf>
    <xf numFmtId="180" fontId="60" fillId="4" borderId="89" xfId="4" applyNumberFormat="1" applyFont="1" applyFill="1" applyBorder="1" applyAlignment="1">
      <alignment vertical="center" shrinkToFit="1"/>
    </xf>
    <xf numFmtId="180" fontId="66" fillId="0" borderId="89" xfId="4" applyNumberFormat="1" applyFont="1" applyFill="1" applyBorder="1" applyAlignment="1">
      <alignment vertical="center" shrinkToFit="1"/>
    </xf>
    <xf numFmtId="187" fontId="66" fillId="0" borderId="89" xfId="139" applyFont="1" applyBorder="1" applyAlignment="1">
      <alignment horizontal="left" vertical="center" shrinkToFit="1"/>
    </xf>
    <xf numFmtId="187" fontId="66" fillId="0" borderId="89" xfId="139" quotePrefix="1" applyFont="1" applyBorder="1" applyAlignment="1">
      <alignment vertical="center" shrinkToFit="1"/>
    </xf>
    <xf numFmtId="0" fontId="97" fillId="9" borderId="92" xfId="0" applyFont="1" applyFill="1" applyBorder="1" applyAlignment="1">
      <alignment horizontal="left" vertical="center"/>
    </xf>
    <xf numFmtId="0" fontId="97" fillId="0" borderId="92" xfId="0" applyFont="1" applyBorder="1" applyAlignment="1">
      <alignment horizontal="left" vertical="center"/>
    </xf>
    <xf numFmtId="180" fontId="13" fillId="0" borderId="92" xfId="1" applyNumberFormat="1" applyFont="1" applyFill="1" applyBorder="1" applyAlignment="1">
      <alignment horizontal="center" vertical="center"/>
    </xf>
    <xf numFmtId="180" fontId="13" fillId="0" borderId="92" xfId="1" applyNumberFormat="1" applyFont="1" applyFill="1" applyBorder="1">
      <alignment vertical="center"/>
    </xf>
    <xf numFmtId="180" fontId="29" fillId="0" borderId="92" xfId="1" applyNumberFormat="1" applyFont="1" applyFill="1" applyBorder="1" applyAlignment="1">
      <alignment horizontal="center" vertical="center"/>
    </xf>
    <xf numFmtId="41" fontId="13" fillId="0" borderId="92" xfId="1" applyFont="1" applyFill="1" applyBorder="1">
      <alignment vertical="center"/>
    </xf>
    <xf numFmtId="0" fontId="97" fillId="0" borderId="92" xfId="0" applyFont="1" applyBorder="1">
      <alignment vertical="center"/>
    </xf>
    <xf numFmtId="184" fontId="67" fillId="11" borderId="92" xfId="0" applyNumberFormat="1" applyFont="1" applyFill="1" applyBorder="1" applyAlignment="1">
      <alignment horizontal="center" vertical="center"/>
    </xf>
    <xf numFmtId="0" fontId="97" fillId="11" borderId="92" xfId="0" applyFont="1" applyFill="1" applyBorder="1">
      <alignment vertical="center"/>
    </xf>
    <xf numFmtId="0" fontId="67" fillId="11" borderId="92" xfId="0" applyFont="1" applyFill="1" applyBorder="1" applyAlignment="1">
      <alignment horizontal="center" vertical="center"/>
    </xf>
    <xf numFmtId="0" fontId="117" fillId="11" borderId="92" xfId="0" applyFont="1" applyFill="1" applyBorder="1" applyAlignment="1">
      <alignment horizontal="center" vertical="center" wrapText="1"/>
    </xf>
    <xf numFmtId="178" fontId="117" fillId="11" borderId="92" xfId="0" applyNumberFormat="1" applyFont="1" applyFill="1" applyBorder="1" applyAlignment="1">
      <alignment horizontal="center" vertical="center"/>
    </xf>
    <xf numFmtId="178" fontId="106" fillId="11" borderId="92" xfId="0" applyNumberFormat="1" applyFont="1" applyFill="1" applyBorder="1" applyAlignment="1">
      <alignment horizontal="center" vertical="center"/>
    </xf>
    <xf numFmtId="180" fontId="106" fillId="11" borderId="92" xfId="1" applyNumberFormat="1" applyFont="1" applyFill="1" applyBorder="1" applyAlignment="1">
      <alignment horizontal="center" vertical="center"/>
    </xf>
    <xf numFmtId="183" fontId="117" fillId="11" borderId="92" xfId="4" applyNumberFormat="1" applyFont="1" applyFill="1" applyBorder="1" applyAlignment="1">
      <alignment horizontal="right" vertical="center" shrinkToFit="1"/>
    </xf>
    <xf numFmtId="180" fontId="117" fillId="5" borderId="92" xfId="4" applyNumberFormat="1" applyFont="1" applyFill="1" applyBorder="1" applyAlignment="1">
      <alignment vertical="center" shrinkToFit="1"/>
    </xf>
    <xf numFmtId="180" fontId="67" fillId="11" borderId="92" xfId="4" applyNumberFormat="1" applyFont="1" applyFill="1" applyBorder="1" applyAlignment="1">
      <alignment vertical="center" shrinkToFit="1"/>
    </xf>
    <xf numFmtId="187" fontId="67" fillId="11" borderId="92" xfId="139" applyFont="1" applyFill="1" applyBorder="1" applyAlignment="1">
      <alignment horizontal="left" vertical="center" shrinkToFit="1"/>
    </xf>
    <xf numFmtId="187" fontId="67" fillId="11" borderId="92" xfId="139" quotePrefix="1" applyFont="1" applyFill="1" applyBorder="1" applyAlignment="1">
      <alignment vertical="center" shrinkToFit="1"/>
    </xf>
    <xf numFmtId="184" fontId="67" fillId="9" borderId="92" xfId="0" applyNumberFormat="1" applyFont="1" applyFill="1" applyBorder="1" applyAlignment="1">
      <alignment horizontal="center" vertical="center"/>
    </xf>
    <xf numFmtId="0" fontId="97" fillId="9" borderId="92" xfId="0" applyFont="1" applyFill="1" applyBorder="1">
      <alignment vertical="center"/>
    </xf>
    <xf numFmtId="187" fontId="67" fillId="9" borderId="92" xfId="139" applyFont="1" applyFill="1" applyBorder="1" applyAlignment="1">
      <alignment vertical="center" shrinkToFit="1"/>
    </xf>
    <xf numFmtId="0" fontId="67" fillId="9" borderId="92" xfId="0" applyFont="1" applyFill="1" applyBorder="1" applyAlignment="1">
      <alignment horizontal="center" vertical="center"/>
    </xf>
    <xf numFmtId="178" fontId="117" fillId="9" borderId="92" xfId="0" applyNumberFormat="1" applyFont="1" applyFill="1" applyBorder="1" applyAlignment="1">
      <alignment horizontal="center" vertical="center"/>
    </xf>
    <xf numFmtId="180" fontId="67" fillId="9" borderId="92" xfId="1" applyNumberFormat="1" applyFont="1" applyFill="1" applyBorder="1" applyAlignment="1">
      <alignment horizontal="center" vertical="center"/>
    </xf>
    <xf numFmtId="183" fontId="117" fillId="9" borderId="92" xfId="4" applyNumberFormat="1" applyFont="1" applyFill="1" applyBorder="1" applyAlignment="1">
      <alignment horizontal="right" vertical="center" shrinkToFit="1"/>
    </xf>
    <xf numFmtId="180" fontId="67" fillId="9" borderId="92" xfId="4" applyNumberFormat="1" applyFont="1" applyFill="1" applyBorder="1" applyAlignment="1">
      <alignment vertical="center" shrinkToFit="1"/>
    </xf>
    <xf numFmtId="187" fontId="67" fillId="9" borderId="92" xfId="139" applyFont="1" applyFill="1" applyBorder="1" applyAlignment="1">
      <alignment horizontal="left" vertical="center" shrinkToFit="1"/>
    </xf>
    <xf numFmtId="187" fontId="67" fillId="9" borderId="92" xfId="139" quotePrefix="1" applyFont="1" applyFill="1" applyBorder="1" applyAlignment="1">
      <alignment vertical="center" shrinkToFit="1"/>
    </xf>
    <xf numFmtId="184" fontId="67" fillId="0" borderId="92" xfId="0" applyNumberFormat="1" applyFont="1" applyBorder="1" applyAlignment="1">
      <alignment horizontal="center" vertical="center"/>
    </xf>
    <xf numFmtId="0" fontId="67" fillId="0" borderId="92" xfId="0" applyFont="1" applyBorder="1" applyAlignment="1">
      <alignment horizontal="center" vertical="center"/>
    </xf>
    <xf numFmtId="178" fontId="117" fillId="0" borderId="92" xfId="0" applyNumberFormat="1" applyFont="1" applyBorder="1" applyAlignment="1">
      <alignment horizontal="center" vertical="center"/>
    </xf>
    <xf numFmtId="180" fontId="67" fillId="0" borderId="92" xfId="1" applyNumberFormat="1" applyFont="1" applyFill="1" applyBorder="1" applyAlignment="1">
      <alignment horizontal="center" vertical="center"/>
    </xf>
    <xf numFmtId="183" fontId="117" fillId="0" borderId="92" xfId="4" applyNumberFormat="1" applyFont="1" applyFill="1" applyBorder="1" applyAlignment="1">
      <alignment horizontal="right" vertical="center" shrinkToFit="1"/>
    </xf>
    <xf numFmtId="180" fontId="67" fillId="0" borderId="92" xfId="4" applyNumberFormat="1" applyFont="1" applyFill="1" applyBorder="1" applyAlignment="1">
      <alignment vertical="center" shrinkToFit="1"/>
    </xf>
    <xf numFmtId="187" fontId="67" fillId="0" borderId="92" xfId="139" applyFont="1" applyBorder="1" applyAlignment="1">
      <alignment horizontal="left" vertical="center" shrinkToFit="1"/>
    </xf>
    <xf numFmtId="187" fontId="67" fillId="0" borderId="92" xfId="139" quotePrefix="1" applyFont="1" applyBorder="1" applyAlignment="1">
      <alignment vertical="center" shrinkToFit="1"/>
    </xf>
    <xf numFmtId="0" fontId="117" fillId="0" borderId="92" xfId="0" applyFont="1" applyBorder="1" applyAlignment="1">
      <alignment horizontal="center" vertical="center"/>
    </xf>
    <xf numFmtId="0" fontId="67" fillId="0" borderId="92" xfId="139" applyNumberFormat="1" applyFont="1" applyBorder="1" applyAlignment="1">
      <alignment horizontal="center" vertical="center" wrapText="1" shrinkToFit="1"/>
    </xf>
    <xf numFmtId="187" fontId="118" fillId="0" borderId="92" xfId="139" applyFont="1" applyBorder="1">
      <alignment vertical="center"/>
    </xf>
    <xf numFmtId="0" fontId="67" fillId="0" borderId="92" xfId="0" applyFont="1" applyBorder="1">
      <alignment vertical="center"/>
    </xf>
    <xf numFmtId="178" fontId="67" fillId="0" borderId="92" xfId="0" applyNumberFormat="1" applyFont="1" applyBorder="1" applyAlignment="1">
      <alignment horizontal="center" vertical="center"/>
    </xf>
    <xf numFmtId="0" fontId="118" fillId="0" borderId="92" xfId="0" applyFont="1" applyBorder="1" applyAlignment="1">
      <alignment horizontal="center" vertical="center"/>
    </xf>
    <xf numFmtId="187" fontId="67" fillId="0" borderId="92" xfId="139" applyFont="1" applyBorder="1" applyAlignment="1">
      <alignment vertical="center" shrinkToFit="1"/>
    </xf>
    <xf numFmtId="180" fontId="97" fillId="0" borderId="92" xfId="1" applyNumberFormat="1" applyFont="1" applyFill="1" applyBorder="1" applyAlignment="1">
      <alignment horizontal="center" vertical="center"/>
    </xf>
    <xf numFmtId="180" fontId="117" fillId="0" borderId="92" xfId="1" applyNumberFormat="1" applyFont="1" applyFill="1" applyBorder="1" applyAlignment="1">
      <alignment horizontal="center" vertical="center"/>
    </xf>
    <xf numFmtId="0" fontId="106" fillId="0" borderId="92" xfId="0" applyFont="1" applyBorder="1" applyAlignment="1">
      <alignment horizontal="center" vertical="center" wrapText="1"/>
    </xf>
    <xf numFmtId="180" fontId="97" fillId="0" borderId="92" xfId="1" applyNumberFormat="1" applyFont="1" applyBorder="1" applyAlignment="1">
      <alignment horizontal="center" vertical="center"/>
    </xf>
    <xf numFmtId="180" fontId="117" fillId="0" borderId="92" xfId="1" applyNumberFormat="1" applyFont="1" applyFill="1" applyBorder="1" applyAlignment="1">
      <alignment horizontal="center" vertical="center" wrapText="1"/>
    </xf>
    <xf numFmtId="41" fontId="117" fillId="0" borderId="92" xfId="1" applyFont="1" applyFill="1" applyBorder="1" applyAlignment="1">
      <alignment horizontal="center" vertical="center" wrapText="1"/>
    </xf>
    <xf numFmtId="0" fontId="97" fillId="0" borderId="92" xfId="0" applyFont="1" applyBorder="1" applyAlignment="1">
      <alignment horizontal="center" vertical="center" wrapText="1"/>
    </xf>
    <xf numFmtId="41" fontId="97" fillId="0" borderId="92" xfId="1" applyFont="1" applyBorder="1" applyAlignment="1">
      <alignment horizontal="center" vertical="center" wrapText="1"/>
    </xf>
    <xf numFmtId="0" fontId="96" fillId="11" borderId="94" xfId="0" applyFont="1" applyFill="1" applyBorder="1" applyAlignment="1">
      <alignment horizontal="left" vertical="center"/>
    </xf>
    <xf numFmtId="191" fontId="117" fillId="5" borderId="92" xfId="4" applyNumberFormat="1" applyFont="1" applyFill="1" applyBorder="1" applyAlignment="1">
      <alignment vertical="center" shrinkToFit="1"/>
    </xf>
    <xf numFmtId="180" fontId="118" fillId="0" borderId="92" xfId="4" applyNumberFormat="1" applyFont="1" applyFill="1" applyBorder="1" applyAlignment="1">
      <alignment vertical="center" shrinkToFit="1"/>
    </xf>
    <xf numFmtId="0" fontId="66" fillId="4" borderId="56" xfId="0" applyFont="1" applyFill="1" applyBorder="1" applyAlignment="1">
      <alignment horizontal="center" vertical="center"/>
    </xf>
    <xf numFmtId="43" fontId="17" fillId="0" borderId="12" xfId="0" applyNumberFormat="1" applyFont="1" applyBorder="1">
      <alignment vertical="center"/>
    </xf>
    <xf numFmtId="2" fontId="13" fillId="0" borderId="12" xfId="0" applyNumberFormat="1" applyFont="1" applyBorder="1">
      <alignment vertical="center"/>
    </xf>
    <xf numFmtId="0" fontId="114" fillId="0" borderId="0" xfId="177">
      <alignment vertical="center"/>
    </xf>
    <xf numFmtId="0" fontId="13" fillId="0" borderId="1" xfId="177" applyFont="1" applyBorder="1" applyAlignment="1">
      <alignment horizontal="center" vertical="center"/>
    </xf>
    <xf numFmtId="185" fontId="13" fillId="0" borderId="1" xfId="177" applyNumberFormat="1" applyFont="1" applyBorder="1" applyAlignment="1">
      <alignment horizontal="center" vertical="center"/>
    </xf>
    <xf numFmtId="0" fontId="114" fillId="0" borderId="1" xfId="177" applyBorder="1">
      <alignment vertical="center"/>
    </xf>
    <xf numFmtId="185" fontId="114" fillId="0" borderId="1" xfId="177" applyNumberFormat="1" applyBorder="1">
      <alignment vertical="center"/>
    </xf>
    <xf numFmtId="0" fontId="13" fillId="0" borderId="13" xfId="177" applyFont="1" applyBorder="1" applyAlignment="1">
      <alignment horizontal="center" vertical="center"/>
    </xf>
    <xf numFmtId="0" fontId="121" fillId="0" borderId="0" xfId="177" applyFont="1" applyAlignment="1">
      <alignment horizontal="left" vertical="center"/>
    </xf>
    <xf numFmtId="0" fontId="122" fillId="0" borderId="0" xfId="177" applyFont="1">
      <alignment vertical="center"/>
    </xf>
    <xf numFmtId="0" fontId="122" fillId="0" borderId="0" xfId="177" applyFont="1" applyAlignment="1">
      <alignment horizontal="center" vertical="center"/>
    </xf>
    <xf numFmtId="0" fontId="124" fillId="2" borderId="1" xfId="177" applyFont="1" applyFill="1" applyBorder="1" applyAlignment="1">
      <alignment horizontal="center" vertical="center"/>
    </xf>
    <xf numFmtId="180" fontId="124" fillId="2" borderId="1" xfId="4" applyNumberFormat="1" applyFont="1" applyFill="1" applyBorder="1" applyAlignment="1">
      <alignment horizontal="center" vertical="center" wrapText="1"/>
    </xf>
    <xf numFmtId="0" fontId="125" fillId="0" borderId="13" xfId="177" applyFont="1" applyBorder="1" applyAlignment="1">
      <alignment horizontal="center" vertical="center"/>
    </xf>
    <xf numFmtId="185" fontId="122" fillId="0" borderId="29" xfId="177" applyNumberFormat="1" applyFont="1" applyBorder="1">
      <alignment vertical="center"/>
    </xf>
    <xf numFmtId="41" fontId="97" fillId="0" borderId="29" xfId="4" applyFont="1" applyFill="1" applyBorder="1" applyAlignment="1">
      <alignment horizontal="center" vertical="center"/>
    </xf>
    <xf numFmtId="180" fontId="122" fillId="15" borderId="0" xfId="177" applyNumberFormat="1" applyFont="1" applyFill="1">
      <alignment vertical="center"/>
    </xf>
    <xf numFmtId="180" fontId="122" fillId="0" borderId="0" xfId="4" applyNumberFormat="1" applyFont="1">
      <alignment vertical="center"/>
    </xf>
    <xf numFmtId="180" fontId="122" fillId="0" borderId="0" xfId="178" applyNumberFormat="1" applyFont="1">
      <alignment vertical="center"/>
    </xf>
    <xf numFmtId="185" fontId="126" fillId="0" borderId="29" xfId="0" applyNumberFormat="1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127" fillId="0" borderId="0" xfId="138" applyNumberFormat="1" applyFont="1" applyAlignment="1">
      <alignment vertical="center"/>
    </xf>
    <xf numFmtId="184" fontId="127" fillId="0" borderId="0" xfId="138" applyNumberFormat="1" applyFont="1" applyAlignment="1">
      <alignment horizontal="center" vertical="center"/>
    </xf>
    <xf numFmtId="187" fontId="127" fillId="0" borderId="0" xfId="138" applyFont="1" applyAlignment="1">
      <alignment horizontal="left" vertical="center"/>
    </xf>
    <xf numFmtId="187" fontId="127" fillId="0" borderId="0" xfId="138" applyFont="1" applyAlignment="1">
      <alignment horizontal="center" vertical="center"/>
    </xf>
    <xf numFmtId="179" fontId="127" fillId="0" borderId="0" xfId="4" applyNumberFormat="1" applyFont="1" applyFill="1" applyAlignment="1">
      <alignment vertical="center"/>
    </xf>
    <xf numFmtId="188" fontId="127" fillId="0" borderId="0" xfId="4" applyNumberFormat="1" applyFont="1" applyFill="1" applyAlignment="1">
      <alignment vertical="center" shrinkToFit="1"/>
    </xf>
    <xf numFmtId="179" fontId="127" fillId="0" borderId="0" xfId="4" applyNumberFormat="1" applyFont="1" applyFill="1" applyAlignment="1">
      <alignment vertical="center" shrinkToFit="1"/>
    </xf>
    <xf numFmtId="179" fontId="127" fillId="0" borderId="0" xfId="4" applyNumberFormat="1" applyFont="1" applyFill="1" applyAlignment="1">
      <alignment horizontal="center" vertical="center" shrinkToFit="1"/>
    </xf>
    <xf numFmtId="179" fontId="127" fillId="0" borderId="0" xfId="4" applyNumberFormat="1" applyFont="1" applyFill="1" applyBorder="1" applyAlignment="1">
      <alignment vertical="center"/>
    </xf>
    <xf numFmtId="179" fontId="127" fillId="0" borderId="0" xfId="138" applyNumberFormat="1" applyFont="1" applyAlignment="1">
      <alignment vertical="center"/>
    </xf>
    <xf numFmtId="187" fontId="127" fillId="0" borderId="0" xfId="138" applyFont="1" applyAlignment="1">
      <alignment vertical="center"/>
    </xf>
    <xf numFmtId="187" fontId="127" fillId="0" borderId="0" xfId="138" applyFont="1" applyAlignment="1">
      <alignment vertical="center" shrinkToFit="1"/>
    </xf>
    <xf numFmtId="0" fontId="128" fillId="0" borderId="0" xfId="138" applyNumberFormat="1" applyFont="1" applyAlignment="1">
      <alignment vertical="center"/>
    </xf>
    <xf numFmtId="187" fontId="129" fillId="0" borderId="0" xfId="139" applyFont="1">
      <alignment vertical="center"/>
    </xf>
    <xf numFmtId="0" fontId="129" fillId="0" borderId="0" xfId="139" applyNumberFormat="1" applyFont="1">
      <alignment vertical="center"/>
    </xf>
    <xf numFmtId="184" fontId="131" fillId="0" borderId="0" xfId="139" applyNumberFormat="1" applyFont="1" applyAlignment="1">
      <alignment horizontal="left" vertical="center"/>
    </xf>
    <xf numFmtId="187" fontId="129" fillId="0" borderId="0" xfId="139" applyFont="1" applyAlignment="1">
      <alignment horizontal="left" vertical="center"/>
    </xf>
    <xf numFmtId="43" fontId="129" fillId="0" borderId="0" xfId="139" applyNumberFormat="1" applyFont="1" applyAlignment="1">
      <alignment horizontal="left" vertical="center"/>
    </xf>
    <xf numFmtId="187" fontId="129" fillId="0" borderId="0" xfId="139" applyFont="1" applyAlignment="1">
      <alignment vertical="center" shrinkToFit="1"/>
    </xf>
    <xf numFmtId="0" fontId="128" fillId="0" borderId="0" xfId="0" applyFont="1" applyAlignment="1">
      <alignment horizontal="left" vertical="center"/>
    </xf>
    <xf numFmtId="180" fontId="129" fillId="0" borderId="0" xfId="4" applyNumberFormat="1" applyFont="1">
      <alignment vertical="center"/>
    </xf>
    <xf numFmtId="180" fontId="129" fillId="0" borderId="0" xfId="4" applyNumberFormat="1" applyFont="1" applyAlignment="1">
      <alignment horizontal="center" vertical="center" shrinkToFit="1"/>
    </xf>
    <xf numFmtId="179" fontId="133" fillId="0" borderId="0" xfId="4" quotePrefix="1" applyNumberFormat="1" applyFont="1" applyFill="1" applyBorder="1" applyAlignment="1">
      <alignment horizontal="left" vertical="center"/>
    </xf>
    <xf numFmtId="187" fontId="129" fillId="0" borderId="0" xfId="139" applyFont="1" applyAlignment="1">
      <alignment horizontal="center" vertical="center"/>
    </xf>
    <xf numFmtId="180" fontId="129" fillId="0" borderId="0" xfId="4" applyNumberFormat="1" applyFont="1" applyFill="1" applyBorder="1">
      <alignment vertical="center"/>
    </xf>
    <xf numFmtId="0" fontId="128" fillId="0" borderId="0" xfId="139" applyNumberFormat="1" applyFont="1">
      <alignment vertical="center"/>
    </xf>
    <xf numFmtId="0" fontId="134" fillId="0" borderId="0" xfId="138" applyNumberFormat="1" applyFont="1" applyAlignment="1">
      <alignment vertical="center"/>
    </xf>
    <xf numFmtId="179" fontId="134" fillId="0" borderId="0" xfId="4" quotePrefix="1" applyNumberFormat="1" applyFont="1" applyFill="1" applyAlignment="1">
      <alignment horizontal="left" vertical="center"/>
    </xf>
    <xf numFmtId="179" fontId="134" fillId="0" borderId="0" xfId="4" applyNumberFormat="1" applyFont="1" applyFill="1" applyAlignment="1">
      <alignment horizontal="left" vertical="center"/>
    </xf>
    <xf numFmtId="4" fontId="128" fillId="0" borderId="0" xfId="0" applyNumberFormat="1" applyFont="1">
      <alignment vertical="center"/>
    </xf>
    <xf numFmtId="179" fontId="134" fillId="0" borderId="0" xfId="138" applyNumberFormat="1" applyFont="1" applyAlignment="1">
      <alignment horizontal="left" vertical="center" shrinkToFit="1"/>
    </xf>
    <xf numFmtId="187" fontId="134" fillId="0" borderId="0" xfId="139" applyFont="1">
      <alignment vertical="center"/>
    </xf>
    <xf numFmtId="179" fontId="134" fillId="0" borderId="0" xfId="4" applyNumberFormat="1" applyFont="1" applyFill="1" applyAlignment="1">
      <alignment horizontal="center" vertical="center" shrinkToFit="1"/>
    </xf>
    <xf numFmtId="179" fontId="134" fillId="0" borderId="0" xfId="4" applyNumberFormat="1" applyFont="1" applyFill="1" applyAlignment="1">
      <alignment horizontal="left" vertical="center" shrinkToFit="1"/>
    </xf>
    <xf numFmtId="179" fontId="133" fillId="0" borderId="0" xfId="4" applyNumberFormat="1" applyFont="1" applyFill="1" applyBorder="1" applyAlignment="1">
      <alignment horizontal="left" vertical="center"/>
    </xf>
    <xf numFmtId="184" fontId="133" fillId="2" borderId="1" xfId="4" applyNumberFormat="1" applyFont="1" applyFill="1" applyBorder="1" applyAlignment="1">
      <alignment horizontal="center" vertical="center"/>
    </xf>
    <xf numFmtId="179" fontId="133" fillId="2" borderId="1" xfId="4" applyNumberFormat="1" applyFont="1" applyFill="1" applyBorder="1" applyAlignment="1">
      <alignment horizontal="left" vertical="center"/>
    </xf>
    <xf numFmtId="179" fontId="133" fillId="2" borderId="1" xfId="4" applyNumberFormat="1" applyFont="1" applyFill="1" applyBorder="1" applyAlignment="1">
      <alignment horizontal="center" vertical="center"/>
    </xf>
    <xf numFmtId="179" fontId="133" fillId="2" borderId="1" xfId="4" applyNumberFormat="1" applyFont="1" applyFill="1" applyBorder="1" applyAlignment="1">
      <alignment horizontal="center" vertical="center" wrapText="1"/>
    </xf>
    <xf numFmtId="179" fontId="133" fillId="2" borderId="1" xfId="4" applyNumberFormat="1" applyFont="1" applyFill="1" applyBorder="1" applyAlignment="1">
      <alignment horizontal="center" vertical="center" shrinkToFit="1"/>
    </xf>
    <xf numFmtId="180" fontId="133" fillId="2" borderId="1" xfId="4" applyNumberFormat="1" applyFont="1" applyFill="1" applyBorder="1" applyAlignment="1">
      <alignment horizontal="center" vertical="center" shrinkToFit="1"/>
    </xf>
    <xf numFmtId="184" fontId="129" fillId="0" borderId="1" xfId="139" applyNumberFormat="1" applyFont="1" applyBorder="1" applyAlignment="1">
      <alignment horizontal="left" vertical="center"/>
    </xf>
    <xf numFmtId="187" fontId="129" fillId="0" borderId="1" xfId="139" applyFont="1" applyBorder="1" applyAlignment="1">
      <alignment horizontal="left" vertical="center"/>
    </xf>
    <xf numFmtId="180" fontId="129" fillId="0" borderId="1" xfId="4" applyNumberFormat="1" applyFont="1" applyBorder="1">
      <alignment vertical="center"/>
    </xf>
    <xf numFmtId="41" fontId="129" fillId="0" borderId="1" xfId="4" applyFont="1" applyBorder="1" applyAlignment="1">
      <alignment vertical="center" shrinkToFit="1"/>
    </xf>
    <xf numFmtId="187" fontId="127" fillId="0" borderId="0" xfId="4" applyNumberFormat="1" applyFont="1" applyAlignment="1">
      <alignment vertical="center" shrinkToFit="1"/>
    </xf>
    <xf numFmtId="187" fontId="129" fillId="0" borderId="1" xfId="139" applyFont="1" applyBorder="1">
      <alignment vertical="center"/>
    </xf>
    <xf numFmtId="180" fontId="127" fillId="0" borderId="1" xfId="4" applyNumberFormat="1" applyFont="1" applyBorder="1">
      <alignment vertical="center"/>
    </xf>
    <xf numFmtId="180" fontId="127" fillId="0" borderId="1" xfId="4" applyNumberFormat="1" applyFont="1" applyBorder="1" applyAlignment="1">
      <alignment horizontal="center" vertical="center"/>
    </xf>
    <xf numFmtId="41" fontId="129" fillId="0" borderId="1" xfId="4" applyFont="1" applyFill="1" applyBorder="1" applyAlignment="1">
      <alignment vertical="center" shrinkToFit="1"/>
    </xf>
    <xf numFmtId="41" fontId="128" fillId="0" borderId="0" xfId="139" applyNumberFormat="1" applyFont="1">
      <alignment vertical="center"/>
    </xf>
    <xf numFmtId="187" fontId="129" fillId="0" borderId="0" xfId="4" applyNumberFormat="1" applyFont="1" applyAlignment="1">
      <alignment vertical="center" shrinkToFit="1"/>
    </xf>
    <xf numFmtId="187" fontId="130" fillId="0" borderId="0" xfId="4" applyNumberFormat="1" applyFont="1" applyAlignment="1">
      <alignment vertical="center" shrinkToFit="1"/>
    </xf>
    <xf numFmtId="180" fontId="127" fillId="0" borderId="1" xfId="4" applyNumberFormat="1" applyFont="1" applyFill="1" applyBorder="1">
      <alignment vertical="center"/>
    </xf>
    <xf numFmtId="180" fontId="127" fillId="0" borderId="1" xfId="4" applyNumberFormat="1" applyFont="1" applyFill="1" applyBorder="1" applyAlignment="1">
      <alignment horizontal="center" vertical="center"/>
    </xf>
    <xf numFmtId="187" fontId="128" fillId="0" borderId="0" xfId="4" applyNumberFormat="1" applyFont="1" applyAlignment="1">
      <alignment vertical="center" shrinkToFit="1"/>
    </xf>
    <xf numFmtId="43" fontId="128" fillId="0" borderId="0" xfId="139" applyNumberFormat="1" applyFont="1" applyAlignment="1">
      <alignment vertical="center" shrinkToFit="1"/>
    </xf>
    <xf numFmtId="187" fontId="129" fillId="3" borderId="1" xfId="139" applyFont="1" applyFill="1" applyBorder="1">
      <alignment vertical="center"/>
    </xf>
    <xf numFmtId="187" fontId="129" fillId="3" borderId="1" xfId="139" applyFont="1" applyFill="1" applyBorder="1" applyAlignment="1">
      <alignment horizontal="left" vertical="center"/>
    </xf>
    <xf numFmtId="41" fontId="129" fillId="3" borderId="1" xfId="4" applyFont="1" applyFill="1" applyBorder="1" applyAlignment="1">
      <alignment vertical="center" shrinkToFit="1"/>
    </xf>
    <xf numFmtId="43" fontId="128" fillId="0" borderId="0" xfId="139" applyNumberFormat="1" applyFont="1" applyAlignment="1">
      <alignment horizontal="right" vertical="center" shrinkToFit="1"/>
    </xf>
    <xf numFmtId="180" fontId="129" fillId="3" borderId="1" xfId="4" applyNumberFormat="1" applyFont="1" applyFill="1" applyBorder="1">
      <alignment vertical="center"/>
    </xf>
    <xf numFmtId="180" fontId="130" fillId="3" borderId="1" xfId="4" applyNumberFormat="1" applyFont="1" applyFill="1" applyBorder="1" applyAlignment="1">
      <alignment horizontal="center" vertical="center"/>
    </xf>
    <xf numFmtId="41" fontId="130" fillId="3" borderId="1" xfId="4" applyFont="1" applyFill="1" applyBorder="1" applyAlignment="1">
      <alignment vertical="center" shrinkToFit="1"/>
    </xf>
    <xf numFmtId="180" fontId="128" fillId="0" borderId="0" xfId="4" applyNumberFormat="1" applyFont="1" applyAlignment="1">
      <alignment vertical="center" shrinkToFit="1"/>
    </xf>
    <xf numFmtId="178" fontId="129" fillId="0" borderId="1" xfId="4" applyNumberFormat="1" applyFont="1" applyBorder="1">
      <alignment vertical="center"/>
    </xf>
    <xf numFmtId="25" fontId="128" fillId="0" borderId="0" xfId="139" applyNumberFormat="1" applyFont="1" applyAlignment="1">
      <alignment horizontal="right" vertical="center" shrinkToFit="1"/>
    </xf>
    <xf numFmtId="180" fontId="129" fillId="0" borderId="1" xfId="4" applyNumberFormat="1" applyFont="1" applyBorder="1" applyAlignment="1">
      <alignment vertical="center" shrinkToFit="1"/>
    </xf>
    <xf numFmtId="180" fontId="129" fillId="0" borderId="1" xfId="4" applyNumberFormat="1" applyFont="1" applyBorder="1" applyAlignment="1">
      <alignment horizontal="center" vertical="center"/>
    </xf>
    <xf numFmtId="0" fontId="127" fillId="0" borderId="0" xfId="138" applyNumberFormat="1" applyFont="1" applyAlignment="1">
      <alignment vertical="center" shrinkToFit="1"/>
    </xf>
    <xf numFmtId="184" fontId="133" fillId="2" borderId="3" xfId="139" applyNumberFormat="1" applyFont="1" applyFill="1" applyBorder="1" applyAlignment="1">
      <alignment horizontal="center" vertical="center" shrinkToFit="1"/>
    </xf>
    <xf numFmtId="187" fontId="133" fillId="2" borderId="4" xfId="139" applyFont="1" applyFill="1" applyBorder="1" applyAlignment="1">
      <alignment horizontal="left" vertical="center" shrinkToFit="1"/>
    </xf>
    <xf numFmtId="180" fontId="133" fillId="2" borderId="1" xfId="4" applyNumberFormat="1" applyFont="1" applyFill="1" applyBorder="1" applyAlignment="1">
      <alignment vertical="center" shrinkToFit="1"/>
    </xf>
    <xf numFmtId="180" fontId="136" fillId="2" borderId="1" xfId="4" applyNumberFormat="1" applyFont="1" applyFill="1" applyBorder="1" applyAlignment="1">
      <alignment vertical="center" shrinkToFit="1"/>
    </xf>
    <xf numFmtId="41" fontId="133" fillId="2" borderId="1" xfId="4" applyFont="1" applyFill="1" applyBorder="1" applyAlignment="1">
      <alignment vertical="center" shrinkToFit="1"/>
    </xf>
    <xf numFmtId="5" fontId="128" fillId="0" borderId="0" xfId="139" applyNumberFormat="1" applyFont="1" applyAlignment="1">
      <alignment horizontal="right" vertical="center" shrinkToFit="1"/>
    </xf>
    <xf numFmtId="187" fontId="133" fillId="2" borderId="4" xfId="139" applyFont="1" applyFill="1" applyBorder="1" applyAlignment="1">
      <alignment horizontal="center" vertical="center" shrinkToFit="1"/>
    </xf>
    <xf numFmtId="187" fontId="130" fillId="0" borderId="0" xfId="139" applyFont="1" applyAlignment="1">
      <alignment vertical="center" shrinkToFit="1"/>
    </xf>
    <xf numFmtId="186" fontId="127" fillId="0" borderId="0" xfId="1" applyNumberFormat="1" applyFont="1" applyFill="1" applyAlignment="1">
      <alignment vertical="center" shrinkToFit="1"/>
    </xf>
    <xf numFmtId="187" fontId="129" fillId="0" borderId="0" xfId="139" applyFont="1" applyAlignment="1">
      <alignment horizontal="center" vertical="center" shrinkToFit="1"/>
    </xf>
    <xf numFmtId="180" fontId="129" fillId="0" borderId="0" xfId="4" applyNumberFormat="1" applyFont="1" applyAlignment="1">
      <alignment vertical="center" shrinkToFit="1"/>
    </xf>
    <xf numFmtId="184" fontId="129" fillId="0" borderId="0" xfId="139" applyNumberFormat="1" applyFont="1" applyAlignment="1">
      <alignment horizontal="center" vertical="center"/>
    </xf>
    <xf numFmtId="180" fontId="127" fillId="0" borderId="0" xfId="4" applyNumberFormat="1" applyFont="1" applyAlignment="1">
      <alignment horizontal="left" vertical="center"/>
    </xf>
    <xf numFmtId="41" fontId="127" fillId="0" borderId="0" xfId="1" applyFont="1" applyAlignment="1">
      <alignment horizontal="left" vertical="center"/>
    </xf>
    <xf numFmtId="187" fontId="130" fillId="0" borderId="0" xfId="139" applyFont="1" applyAlignment="1">
      <alignment horizontal="right" vertical="center" shrinkToFit="1"/>
    </xf>
    <xf numFmtId="180" fontId="129" fillId="0" borderId="0" xfId="1" applyNumberFormat="1" applyFont="1" applyAlignment="1">
      <alignment vertical="center" shrinkToFit="1"/>
    </xf>
    <xf numFmtId="180" fontId="129" fillId="0" borderId="0" xfId="1" applyNumberFormat="1" applyFont="1" applyAlignment="1">
      <alignment horizontal="center" vertical="center" shrinkToFit="1"/>
    </xf>
    <xf numFmtId="41" fontId="129" fillId="0" borderId="0" xfId="1" applyFont="1" applyAlignment="1">
      <alignment vertical="center" shrinkToFit="1"/>
    </xf>
    <xf numFmtId="187" fontId="128" fillId="0" borderId="0" xfId="139" applyFont="1" applyAlignment="1">
      <alignment vertical="center" shrinkToFit="1"/>
    </xf>
    <xf numFmtId="41" fontId="128" fillId="0" borderId="0" xfId="1" applyFont="1" applyAlignment="1">
      <alignment vertical="center" shrinkToFit="1"/>
    </xf>
    <xf numFmtId="41" fontId="129" fillId="0" borderId="0" xfId="4" applyFont="1" applyAlignment="1">
      <alignment horizontal="left" vertical="center"/>
    </xf>
    <xf numFmtId="180" fontId="137" fillId="0" borderId="0" xfId="1" applyNumberFormat="1" applyFont="1" applyAlignment="1">
      <alignment horizontal="center" vertical="center"/>
    </xf>
    <xf numFmtId="180" fontId="129" fillId="0" borderId="0" xfId="1" applyNumberFormat="1" applyFont="1" applyAlignment="1">
      <alignment horizontal="right" vertical="center"/>
    </xf>
    <xf numFmtId="184" fontId="138" fillId="2" borderId="56" xfId="4" applyNumberFormat="1" applyFont="1" applyFill="1" applyBorder="1" applyAlignment="1">
      <alignment horizontal="center" vertical="center"/>
    </xf>
    <xf numFmtId="179" fontId="138" fillId="2" borderId="56" xfId="4" applyNumberFormat="1" applyFont="1" applyFill="1" applyBorder="1" applyAlignment="1">
      <alignment horizontal="left" vertical="center"/>
    </xf>
    <xf numFmtId="179" fontId="138" fillId="2" borderId="56" xfId="4" applyNumberFormat="1" applyFont="1" applyFill="1" applyBorder="1" applyAlignment="1">
      <alignment horizontal="center" vertical="center"/>
    </xf>
    <xf numFmtId="179" fontId="138" fillId="2" borderId="56" xfId="4" applyNumberFormat="1" applyFont="1" applyFill="1" applyBorder="1" applyAlignment="1">
      <alignment horizontal="center" vertical="center" shrinkToFit="1"/>
    </xf>
    <xf numFmtId="179" fontId="133" fillId="2" borderId="56" xfId="139" applyNumberFormat="1" applyFont="1" applyFill="1" applyBorder="1" applyAlignment="1">
      <alignment horizontal="center" vertical="center"/>
    </xf>
    <xf numFmtId="184" fontId="133" fillId="2" borderId="56" xfId="4" applyNumberFormat="1" applyFont="1" applyFill="1" applyBorder="1" applyAlignment="1">
      <alignment horizontal="center" vertical="center"/>
    </xf>
    <xf numFmtId="179" fontId="133" fillId="2" borderId="56" xfId="4" applyNumberFormat="1" applyFont="1" applyFill="1" applyBorder="1" applyAlignment="1">
      <alignment horizontal="left" vertical="center"/>
    </xf>
    <xf numFmtId="179" fontId="133" fillId="2" borderId="56" xfId="4" applyNumberFormat="1" applyFont="1" applyFill="1" applyBorder="1" applyAlignment="1">
      <alignment horizontal="center" vertical="center"/>
    </xf>
    <xf numFmtId="179" fontId="133" fillId="4" borderId="56" xfId="4" applyNumberFormat="1" applyFont="1" applyFill="1" applyBorder="1" applyAlignment="1">
      <alignment horizontal="center" vertical="center"/>
    </xf>
    <xf numFmtId="179" fontId="133" fillId="4" borderId="56" xfId="4" applyNumberFormat="1" applyFont="1" applyFill="1" applyBorder="1" applyAlignment="1">
      <alignment horizontal="center" vertical="center" shrinkToFit="1"/>
    </xf>
    <xf numFmtId="180" fontId="133" fillId="2" borderId="56" xfId="4" applyNumberFormat="1" applyFont="1" applyFill="1" applyBorder="1" applyAlignment="1">
      <alignment horizontal="center" vertical="center"/>
    </xf>
    <xf numFmtId="180" fontId="133" fillId="2" borderId="56" xfId="4" applyNumberFormat="1" applyFont="1" applyFill="1" applyBorder="1" applyAlignment="1">
      <alignment horizontal="center" vertical="center" shrinkToFit="1"/>
    </xf>
    <xf numFmtId="180" fontId="133" fillId="2" borderId="56" xfId="1" applyNumberFormat="1" applyFont="1" applyFill="1" applyBorder="1" applyAlignment="1">
      <alignment horizontal="center" vertical="center"/>
    </xf>
    <xf numFmtId="179" fontId="133" fillId="2" borderId="56" xfId="4" applyNumberFormat="1" applyFont="1" applyFill="1" applyBorder="1" applyAlignment="1">
      <alignment horizontal="center" vertical="center" shrinkToFit="1"/>
    </xf>
    <xf numFmtId="189" fontId="131" fillId="17" borderId="56" xfId="139" applyNumberFormat="1" applyFont="1" applyFill="1" applyBorder="1" applyAlignment="1">
      <alignment horizontal="center" vertical="center"/>
    </xf>
    <xf numFmtId="187" fontId="131" fillId="17" borderId="56" xfId="139" applyFont="1" applyFill="1" applyBorder="1" applyAlignment="1">
      <alignment horizontal="left" vertical="center"/>
    </xf>
    <xf numFmtId="187" fontId="131" fillId="17" borderId="56" xfId="139" applyFont="1" applyFill="1" applyBorder="1">
      <alignment vertical="center"/>
    </xf>
    <xf numFmtId="187" fontId="131" fillId="17" borderId="56" xfId="139" applyFont="1" applyFill="1" applyBorder="1" applyAlignment="1">
      <alignment horizontal="center" vertical="center"/>
    </xf>
    <xf numFmtId="187" fontId="131" fillId="17" borderId="56" xfId="139" applyFont="1" applyFill="1" applyBorder="1" applyAlignment="1">
      <alignment vertical="center" shrinkToFit="1"/>
    </xf>
    <xf numFmtId="180" fontId="131" fillId="17" borderId="56" xfId="139" applyNumberFormat="1" applyFont="1" applyFill="1" applyBorder="1">
      <alignment vertical="center"/>
    </xf>
    <xf numFmtId="180" fontId="131" fillId="17" borderId="56" xfId="1" applyNumberFormat="1" applyFont="1" applyFill="1" applyBorder="1" applyAlignment="1">
      <alignment horizontal="center" vertical="center"/>
    </xf>
    <xf numFmtId="180" fontId="131" fillId="17" borderId="56" xfId="1" applyNumberFormat="1" applyFont="1" applyFill="1" applyBorder="1">
      <alignment vertical="center"/>
    </xf>
    <xf numFmtId="180" fontId="139" fillId="17" borderId="56" xfId="1" applyNumberFormat="1" applyFont="1" applyFill="1" applyBorder="1">
      <alignment vertical="center"/>
    </xf>
    <xf numFmtId="180" fontId="135" fillId="17" borderId="56" xfId="1" applyNumberFormat="1" applyFont="1" applyFill="1" applyBorder="1">
      <alignment vertical="center"/>
    </xf>
    <xf numFmtId="190" fontId="135" fillId="17" borderId="56" xfId="139" applyNumberFormat="1" applyFont="1" applyFill="1" applyBorder="1" applyAlignment="1">
      <alignment horizontal="left" vertical="center"/>
    </xf>
    <xf numFmtId="184" fontId="129" fillId="0" borderId="56" xfId="0" applyNumberFormat="1" applyFont="1" applyBorder="1" applyAlignment="1">
      <alignment horizontal="center" vertical="center"/>
    </xf>
    <xf numFmtId="0" fontId="129" fillId="0" borderId="56" xfId="0" applyFont="1" applyBorder="1" applyAlignment="1">
      <alignment horizontal="center" vertical="center"/>
    </xf>
    <xf numFmtId="178" fontId="127" fillId="0" borderId="56" xfId="0" applyNumberFormat="1" applyFont="1" applyBorder="1" applyAlignment="1">
      <alignment horizontal="center" vertical="center"/>
    </xf>
    <xf numFmtId="180" fontId="127" fillId="0" borderId="56" xfId="1" applyNumberFormat="1" applyFont="1" applyFill="1" applyBorder="1" applyAlignment="1">
      <alignment horizontal="center" vertical="center"/>
    </xf>
    <xf numFmtId="180" fontId="129" fillId="0" borderId="56" xfId="4" applyNumberFormat="1" applyFont="1" applyFill="1" applyBorder="1" applyAlignment="1">
      <alignment vertical="center" shrinkToFit="1"/>
    </xf>
    <xf numFmtId="187" fontId="129" fillId="0" borderId="56" xfId="139" applyFont="1" applyBorder="1" applyAlignment="1">
      <alignment horizontal="left" vertical="center" shrinkToFit="1"/>
    </xf>
    <xf numFmtId="187" fontId="129" fillId="0" borderId="56" xfId="139" quotePrefix="1" applyFont="1" applyBorder="1" applyAlignment="1">
      <alignment vertical="center" shrinkToFit="1"/>
    </xf>
    <xf numFmtId="180" fontId="129" fillId="0" borderId="0" xfId="1" applyNumberFormat="1" applyFont="1" applyFill="1">
      <alignment vertical="center"/>
    </xf>
    <xf numFmtId="0" fontId="97" fillId="0" borderId="2" xfId="0" applyFont="1" applyBorder="1" applyAlignment="1">
      <alignment horizontal="center" vertical="center"/>
    </xf>
    <xf numFmtId="0" fontId="127" fillId="0" borderId="56" xfId="0" applyFont="1" applyBorder="1" applyAlignment="1">
      <alignment horizontal="center" vertical="center"/>
    </xf>
    <xf numFmtId="0" fontId="129" fillId="0" borderId="56" xfId="139" applyNumberFormat="1" applyFont="1" applyBorder="1" applyAlignment="1">
      <alignment horizontal="center" vertical="center" wrapText="1" shrinkToFit="1"/>
    </xf>
    <xf numFmtId="183" fontId="127" fillId="0" borderId="56" xfId="4" applyNumberFormat="1" applyFont="1" applyFill="1" applyBorder="1" applyAlignment="1">
      <alignment horizontal="right" vertical="center" shrinkToFit="1"/>
    </xf>
    <xf numFmtId="180" fontId="127" fillId="0" borderId="56" xfId="4" applyNumberFormat="1" applyFont="1" applyFill="1" applyBorder="1" applyAlignment="1">
      <alignment vertical="center" shrinkToFit="1"/>
    </xf>
    <xf numFmtId="0" fontId="129" fillId="0" borderId="56" xfId="0" applyFont="1" applyBorder="1">
      <alignment vertical="center"/>
    </xf>
    <xf numFmtId="185" fontId="126" fillId="6" borderId="29" xfId="0" applyNumberFormat="1" applyFont="1" applyFill="1" applyBorder="1" applyAlignment="1">
      <alignment horizontal="center" vertical="center"/>
    </xf>
    <xf numFmtId="180" fontId="97" fillId="6" borderId="31" xfId="0" applyNumberFormat="1" applyFont="1" applyFill="1" applyBorder="1" applyAlignment="1">
      <alignment horizontal="center" vertical="center"/>
    </xf>
    <xf numFmtId="180" fontId="97" fillId="0" borderId="31" xfId="0" applyNumberFormat="1" applyFont="1" applyBorder="1" applyAlignment="1">
      <alignment horizontal="center" vertical="center"/>
    </xf>
    <xf numFmtId="179" fontId="134" fillId="0" borderId="0" xfId="4" applyNumberFormat="1" applyFont="1" applyFill="1" applyAlignment="1">
      <alignment vertical="center"/>
    </xf>
    <xf numFmtId="180" fontId="133" fillId="2" borderId="1" xfId="4" applyNumberFormat="1" applyFont="1" applyFill="1" applyBorder="1" applyAlignment="1">
      <alignment vertical="center" wrapText="1"/>
    </xf>
    <xf numFmtId="180" fontId="129" fillId="0" borderId="2" xfId="4" applyNumberFormat="1" applyFont="1" applyFill="1" applyBorder="1" applyAlignment="1">
      <alignment vertical="center"/>
    </xf>
    <xf numFmtId="180" fontId="129" fillId="0" borderId="1" xfId="4" applyNumberFormat="1" applyFont="1" applyBorder="1" applyAlignment="1">
      <alignment vertical="center"/>
    </xf>
    <xf numFmtId="180" fontId="127" fillId="0" borderId="0" xfId="4" applyNumberFormat="1" applyFont="1" applyAlignment="1">
      <alignment vertical="center"/>
    </xf>
    <xf numFmtId="41" fontId="129" fillId="0" borderId="0" xfId="4" applyFont="1" applyAlignment="1">
      <alignment vertical="center"/>
    </xf>
    <xf numFmtId="187" fontId="138" fillId="2" borderId="56" xfId="4" applyNumberFormat="1" applyFont="1" applyFill="1" applyBorder="1" applyAlignment="1">
      <alignment vertical="center"/>
    </xf>
    <xf numFmtId="187" fontId="133" fillId="2" borderId="56" xfId="4" applyNumberFormat="1" applyFont="1" applyFill="1" applyBorder="1" applyAlignment="1">
      <alignment vertical="center"/>
    </xf>
    <xf numFmtId="180" fontId="129" fillId="3" borderId="56" xfId="4" applyNumberFormat="1" applyFont="1" applyFill="1" applyBorder="1" applyAlignment="1">
      <alignment vertical="center" shrinkToFit="1"/>
    </xf>
    <xf numFmtId="0" fontId="141" fillId="0" borderId="2" xfId="0" applyFont="1" applyBorder="1" applyAlignment="1">
      <alignment horizontal="center" vertical="center"/>
    </xf>
    <xf numFmtId="185" fontId="142" fillId="0" borderId="29" xfId="0" applyNumberFormat="1" applyFont="1" applyBorder="1" applyAlignment="1">
      <alignment horizontal="center" vertical="center"/>
    </xf>
    <xf numFmtId="0" fontId="120" fillId="0" borderId="0" xfId="177" applyFont="1">
      <alignment vertical="center"/>
    </xf>
    <xf numFmtId="0" fontId="143" fillId="0" borderId="0" xfId="177" applyFont="1">
      <alignment vertical="center"/>
    </xf>
    <xf numFmtId="0" fontId="129" fillId="0" borderId="0" xfId="139" applyNumberFormat="1" applyFont="1" applyFill="1">
      <alignment vertical="center"/>
    </xf>
    <xf numFmtId="187" fontId="129" fillId="0" borderId="56" xfId="139" quotePrefix="1" applyFont="1" applyFill="1" applyBorder="1" applyAlignment="1">
      <alignment vertical="center" shrinkToFit="1"/>
    </xf>
    <xf numFmtId="187" fontId="129" fillId="0" borderId="0" xfId="139" applyFont="1" applyFill="1">
      <alignment vertical="center"/>
    </xf>
    <xf numFmtId="187" fontId="130" fillId="0" borderId="0" xfId="139" applyFont="1" applyFill="1">
      <alignment vertical="center"/>
    </xf>
    <xf numFmtId="187" fontId="129" fillId="0" borderId="56" xfId="139" applyFont="1" applyFill="1" applyBorder="1" applyAlignment="1">
      <alignment horizontal="left" vertical="center" shrinkToFit="1"/>
    </xf>
    <xf numFmtId="25" fontId="54" fillId="6" borderId="12" xfId="0" applyNumberFormat="1" applyFont="1" applyFill="1" applyBorder="1" applyAlignment="1">
      <alignment horizontal="left" vertical="center"/>
    </xf>
    <xf numFmtId="25" fontId="54" fillId="21" borderId="12" xfId="0" applyNumberFormat="1" applyFont="1" applyFill="1" applyBorder="1" applyAlignment="1">
      <alignment horizontal="left" vertical="center"/>
    </xf>
    <xf numFmtId="43" fontId="22" fillId="2" borderId="12" xfId="4" applyNumberFormat="1" applyFont="1" applyFill="1" applyBorder="1" applyAlignment="1">
      <alignment horizontal="center" vertical="center"/>
    </xf>
    <xf numFmtId="25" fontId="54" fillId="14" borderId="12" xfId="0" applyNumberFormat="1" applyFont="1" applyFill="1" applyBorder="1" applyAlignment="1">
      <alignment horizontal="left" vertical="center"/>
    </xf>
    <xf numFmtId="25" fontId="54" fillId="6" borderId="56" xfId="0" applyNumberFormat="1" applyFont="1" applyFill="1" applyBorder="1" applyAlignment="1">
      <alignment horizontal="left" vertical="center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0" fontId="34" fillId="2" borderId="38" xfId="2" applyFont="1" applyFill="1" applyBorder="1" applyAlignment="1">
      <alignment horizontal="center" vertical="center"/>
    </xf>
    <xf numFmtId="0" fontId="34" fillId="2" borderId="39" xfId="2" applyFont="1" applyFill="1" applyBorder="1" applyAlignment="1">
      <alignment horizontal="center" vertical="center"/>
    </xf>
    <xf numFmtId="180" fontId="33" fillId="2" borderId="37" xfId="1" applyNumberFormat="1" applyFont="1" applyFill="1" applyBorder="1" applyAlignment="1">
      <alignment horizontal="center" vertical="center"/>
    </xf>
    <xf numFmtId="180" fontId="33" fillId="2" borderId="40" xfId="1" applyNumberFormat="1" applyFont="1" applyFill="1" applyBorder="1" applyAlignment="1">
      <alignment horizontal="center" vertical="center"/>
    </xf>
    <xf numFmtId="180" fontId="33" fillId="2" borderId="38" xfId="1" applyNumberFormat="1" applyFont="1" applyFill="1" applyBorder="1" applyAlignment="1">
      <alignment horizontal="center" vertical="center"/>
    </xf>
    <xf numFmtId="179" fontId="27" fillId="2" borderId="3" xfId="0" applyNumberFormat="1" applyFont="1" applyFill="1" applyBorder="1" applyAlignment="1">
      <alignment horizontal="center" vertical="center"/>
    </xf>
    <xf numFmtId="179" fontId="27" fillId="2" borderId="4" xfId="0" applyNumberFormat="1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179" fontId="18" fillId="2" borderId="9" xfId="1" applyNumberFormat="1" applyFont="1" applyFill="1" applyBorder="1" applyAlignment="1">
      <alignment horizontal="center" vertical="center"/>
    </xf>
    <xf numFmtId="179" fontId="18" fillId="2" borderId="13" xfId="1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79" fontId="18" fillId="2" borderId="5" xfId="1" applyNumberFormat="1" applyFont="1" applyFill="1" applyBorder="1" applyAlignment="1">
      <alignment horizontal="center" vertical="center"/>
    </xf>
    <xf numFmtId="179" fontId="18" fillId="2" borderId="10" xfId="1" applyNumberFormat="1" applyFont="1" applyFill="1" applyBorder="1" applyAlignment="1">
      <alignment horizontal="center" vertical="center"/>
    </xf>
    <xf numFmtId="179" fontId="18" fillId="2" borderId="6" xfId="1" applyNumberFormat="1" applyFont="1" applyFill="1" applyBorder="1" applyAlignment="1">
      <alignment horizontal="center" vertical="center"/>
    </xf>
    <xf numFmtId="179" fontId="18" fillId="2" borderId="0" xfId="1" applyNumberFormat="1" applyFont="1" applyFill="1" applyBorder="1" applyAlignment="1">
      <alignment horizontal="center" vertical="center"/>
    </xf>
    <xf numFmtId="179" fontId="18" fillId="2" borderId="7" xfId="1" applyNumberFormat="1" applyFont="1" applyFill="1" applyBorder="1" applyAlignment="1">
      <alignment horizontal="center" vertical="center"/>
    </xf>
    <xf numFmtId="179" fontId="18" fillId="2" borderId="11" xfId="1" applyNumberFormat="1" applyFont="1" applyFill="1" applyBorder="1" applyAlignment="1">
      <alignment horizontal="center" vertical="center"/>
    </xf>
    <xf numFmtId="179" fontId="27" fillId="2" borderId="8" xfId="0" applyNumberFormat="1" applyFont="1" applyFill="1" applyBorder="1" applyAlignment="1">
      <alignment horizontal="center" vertical="center"/>
    </xf>
    <xf numFmtId="181" fontId="34" fillId="2" borderId="8" xfId="0" applyNumberFormat="1" applyFont="1" applyFill="1" applyBorder="1" applyAlignment="1">
      <alignment horizontal="center" vertical="center"/>
    </xf>
    <xf numFmtId="181" fontId="34" fillId="2" borderId="4" xfId="0" applyNumberFormat="1" applyFont="1" applyFill="1" applyBorder="1" applyAlignment="1">
      <alignment horizontal="center" vertical="center"/>
    </xf>
    <xf numFmtId="179" fontId="34" fillId="2" borderId="9" xfId="1" applyNumberFormat="1" applyFont="1" applyFill="1" applyBorder="1" applyAlignment="1">
      <alignment horizontal="center" vertical="center"/>
    </xf>
    <xf numFmtId="179" fontId="34" fillId="2" borderId="13" xfId="1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179" fontId="34" fillId="2" borderId="5" xfId="1" applyNumberFormat="1" applyFont="1" applyFill="1" applyBorder="1" applyAlignment="1">
      <alignment horizontal="center" vertical="center"/>
    </xf>
    <xf numFmtId="179" fontId="34" fillId="2" borderId="10" xfId="1" applyNumberFormat="1" applyFont="1" applyFill="1" applyBorder="1" applyAlignment="1">
      <alignment horizontal="center" vertical="center"/>
    </xf>
    <xf numFmtId="179" fontId="34" fillId="2" borderId="6" xfId="1" applyNumberFormat="1" applyFont="1" applyFill="1" applyBorder="1" applyAlignment="1">
      <alignment horizontal="center" vertical="center"/>
    </xf>
    <xf numFmtId="179" fontId="34" fillId="2" borderId="0" xfId="1" applyNumberFormat="1" applyFont="1" applyFill="1" applyBorder="1" applyAlignment="1">
      <alignment horizontal="center" vertical="center"/>
    </xf>
    <xf numFmtId="179" fontId="34" fillId="2" borderId="7" xfId="1" applyNumberFormat="1" applyFont="1" applyFill="1" applyBorder="1" applyAlignment="1">
      <alignment horizontal="center" vertical="center"/>
    </xf>
    <xf numFmtId="179" fontId="34" fillId="2" borderId="11" xfId="1" applyNumberFormat="1" applyFont="1" applyFill="1" applyBorder="1" applyAlignment="1">
      <alignment horizontal="center" vertical="center"/>
    </xf>
    <xf numFmtId="179" fontId="34" fillId="2" borderId="3" xfId="0" applyNumberFormat="1" applyFont="1" applyFill="1" applyBorder="1" applyAlignment="1">
      <alignment horizontal="center" vertical="center"/>
    </xf>
    <xf numFmtId="179" fontId="34" fillId="2" borderId="8" xfId="0" applyNumberFormat="1" applyFont="1" applyFill="1" applyBorder="1" applyAlignment="1">
      <alignment horizontal="center" vertical="center"/>
    </xf>
    <xf numFmtId="179" fontId="34" fillId="2" borderId="4" xfId="0" applyNumberFormat="1" applyFont="1" applyFill="1" applyBorder="1" applyAlignment="1">
      <alignment horizontal="center" vertical="center"/>
    </xf>
    <xf numFmtId="181" fontId="34" fillId="2" borderId="3" xfId="0" applyNumberFormat="1" applyFont="1" applyFill="1" applyBorder="1" applyAlignment="1">
      <alignment horizontal="center" vertical="center"/>
    </xf>
    <xf numFmtId="179" fontId="34" fillId="2" borderId="35" xfId="1" applyNumberFormat="1" applyFont="1" applyFill="1" applyBorder="1" applyAlignment="1">
      <alignment horizontal="center" vertical="center"/>
    </xf>
    <xf numFmtId="179" fontId="34" fillId="2" borderId="34" xfId="1" applyNumberFormat="1" applyFont="1" applyFill="1" applyBorder="1" applyAlignment="1">
      <alignment horizontal="center" vertical="center"/>
    </xf>
    <xf numFmtId="179" fontId="34" fillId="2" borderId="26" xfId="1" applyNumberFormat="1" applyFont="1" applyFill="1" applyBorder="1" applyAlignment="1">
      <alignment horizontal="center" vertical="center"/>
    </xf>
    <xf numFmtId="179" fontId="34" fillId="2" borderId="33" xfId="1" applyNumberFormat="1" applyFont="1" applyFill="1" applyBorder="1" applyAlignment="1">
      <alignment horizontal="center" vertical="center"/>
    </xf>
    <xf numFmtId="179" fontId="34" fillId="2" borderId="12" xfId="0" applyNumberFormat="1" applyFont="1" applyFill="1" applyBorder="1" applyAlignment="1">
      <alignment horizontal="center" vertical="center"/>
    </xf>
    <xf numFmtId="181" fontId="34" fillId="2" borderId="12" xfId="0" applyNumberFormat="1" applyFont="1" applyFill="1" applyBorder="1" applyAlignment="1">
      <alignment horizontal="center" vertical="center"/>
    </xf>
    <xf numFmtId="179" fontId="34" fillId="2" borderId="12" xfId="1" applyNumberFormat="1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 vertical="center"/>
    </xf>
    <xf numFmtId="180" fontId="46" fillId="0" borderId="0" xfId="4" applyNumberFormat="1" applyFont="1" applyAlignment="1">
      <alignment horizontal="center" vertical="center"/>
    </xf>
    <xf numFmtId="0" fontId="34" fillId="2" borderId="9" xfId="3" applyFont="1" applyFill="1" applyBorder="1" applyAlignment="1">
      <alignment horizontal="center" vertical="center"/>
    </xf>
    <xf numFmtId="0" fontId="34" fillId="2" borderId="28" xfId="3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179" fontId="34" fillId="2" borderId="20" xfId="1" applyNumberFormat="1" applyFont="1" applyFill="1" applyBorder="1" applyAlignment="1">
      <alignment horizontal="center" vertical="center"/>
    </xf>
    <xf numFmtId="179" fontId="34" fillId="2" borderId="36" xfId="1" applyNumberFormat="1" applyFont="1" applyFill="1" applyBorder="1" applyAlignment="1">
      <alignment horizontal="center" vertical="center"/>
    </xf>
    <xf numFmtId="179" fontId="53" fillId="2" borderId="3" xfId="139" applyNumberFormat="1" applyFont="1" applyFill="1" applyBorder="1" applyAlignment="1">
      <alignment horizontal="center" vertical="center"/>
    </xf>
    <xf numFmtId="179" fontId="53" fillId="2" borderId="8" xfId="139" applyNumberFormat="1" applyFont="1" applyFill="1" applyBorder="1" applyAlignment="1">
      <alignment horizontal="center" vertical="center"/>
    </xf>
    <xf numFmtId="183" fontId="53" fillId="2" borderId="8" xfId="4" applyNumberFormat="1" applyFont="1" applyFill="1" applyBorder="1" applyAlignment="1">
      <alignment horizontal="center" vertical="center"/>
    </xf>
    <xf numFmtId="181" fontId="53" fillId="2" borderId="77" xfId="139" applyNumberFormat="1" applyFont="1" applyFill="1" applyBorder="1" applyAlignment="1">
      <alignment horizontal="center" vertical="center"/>
    </xf>
    <xf numFmtId="181" fontId="53" fillId="2" borderId="78" xfId="139" applyNumberFormat="1" applyFont="1" applyFill="1" applyBorder="1" applyAlignment="1">
      <alignment horizontal="center" vertical="center"/>
    </xf>
    <xf numFmtId="179" fontId="76" fillId="2" borderId="76" xfId="4" applyNumberFormat="1" applyFont="1" applyFill="1" applyBorder="1" applyAlignment="1">
      <alignment horizontal="center" vertical="center"/>
    </xf>
    <xf numFmtId="179" fontId="76" fillId="2" borderId="66" xfId="4" applyNumberFormat="1" applyFont="1" applyFill="1" applyBorder="1" applyAlignment="1">
      <alignment horizontal="center" vertical="center"/>
    </xf>
    <xf numFmtId="179" fontId="53" fillId="2" borderId="74" xfId="4" applyNumberFormat="1" applyFont="1" applyFill="1" applyBorder="1" applyAlignment="1">
      <alignment horizontal="center" vertical="center"/>
    </xf>
    <xf numFmtId="179" fontId="53" fillId="2" borderId="67" xfId="4" applyNumberFormat="1" applyFont="1" applyFill="1" applyBorder="1" applyAlignment="1">
      <alignment horizontal="center" vertical="center"/>
    </xf>
    <xf numFmtId="179" fontId="53" fillId="2" borderId="0" xfId="4" applyNumberFormat="1" applyFont="1" applyFill="1" applyBorder="1" applyAlignment="1">
      <alignment horizontal="center" vertical="center"/>
    </xf>
    <xf numFmtId="179" fontId="53" fillId="2" borderId="11" xfId="4" applyNumberFormat="1" applyFont="1" applyFill="1" applyBorder="1" applyAlignment="1">
      <alignment horizontal="center" vertical="center"/>
    </xf>
    <xf numFmtId="179" fontId="53" fillId="2" borderId="56" xfId="139" applyNumberFormat="1" applyFont="1" applyFill="1" applyBorder="1" applyAlignment="1">
      <alignment horizontal="center" vertical="center"/>
    </xf>
    <xf numFmtId="183" fontId="53" fillId="2" borderId="56" xfId="4" applyNumberFormat="1" applyFont="1" applyFill="1" applyBorder="1" applyAlignment="1">
      <alignment horizontal="center" vertical="center"/>
    </xf>
    <xf numFmtId="181" fontId="53" fillId="2" borderId="56" xfId="139" applyNumberFormat="1" applyFont="1" applyFill="1" applyBorder="1" applyAlignment="1">
      <alignment horizontal="center" vertical="center"/>
    </xf>
    <xf numFmtId="179" fontId="76" fillId="2" borderId="56" xfId="4" applyNumberFormat="1" applyFont="1" applyFill="1" applyBorder="1" applyAlignment="1">
      <alignment horizontal="center" vertical="center"/>
    </xf>
    <xf numFmtId="179" fontId="53" fillId="2" borderId="56" xfId="4" applyNumberFormat="1" applyFont="1" applyFill="1" applyBorder="1" applyAlignment="1">
      <alignment horizontal="center" vertical="center"/>
    </xf>
    <xf numFmtId="0" fontId="13" fillId="0" borderId="92" xfId="0" applyFont="1" applyBorder="1" applyAlignment="1">
      <alignment vertical="center" wrapText="1"/>
    </xf>
    <xf numFmtId="0" fontId="13" fillId="0" borderId="92" xfId="0" applyFont="1" applyBorder="1">
      <alignment vertical="center"/>
    </xf>
    <xf numFmtId="0" fontId="79" fillId="0" borderId="92" xfId="0" applyFont="1" applyBorder="1" applyAlignment="1">
      <alignment vertical="center" wrapText="1"/>
    </xf>
    <xf numFmtId="179" fontId="133" fillId="2" borderId="56" xfId="139" applyNumberFormat="1" applyFont="1" applyFill="1" applyBorder="1" applyAlignment="1">
      <alignment horizontal="center" vertical="center"/>
    </xf>
    <xf numFmtId="183" fontId="133" fillId="2" borderId="56" xfId="4" applyNumberFormat="1" applyFont="1" applyFill="1" applyBorder="1" applyAlignment="1">
      <alignment horizontal="center" vertical="center"/>
    </xf>
    <xf numFmtId="181" fontId="133" fillId="2" borderId="56" xfId="139" applyNumberFormat="1" applyFont="1" applyFill="1" applyBorder="1" applyAlignment="1">
      <alignment horizontal="center" vertical="center"/>
    </xf>
    <xf numFmtId="179" fontId="138" fillId="2" borderId="56" xfId="4" applyNumberFormat="1" applyFont="1" applyFill="1" applyBorder="1" applyAlignment="1">
      <alignment horizontal="center" vertical="center"/>
    </xf>
    <xf numFmtId="179" fontId="133" fillId="2" borderId="56" xfId="4" applyNumberFormat="1" applyFont="1" applyFill="1" applyBorder="1" applyAlignment="1">
      <alignment horizontal="center" vertical="center"/>
    </xf>
    <xf numFmtId="0" fontId="124" fillId="2" borderId="1" xfId="177" applyFont="1" applyFill="1" applyBorder="1" applyAlignment="1">
      <alignment horizontal="center" vertical="center"/>
    </xf>
    <xf numFmtId="180" fontId="123" fillId="0" borderId="0" xfId="178" applyNumberFormat="1" applyFont="1" applyAlignment="1">
      <alignment horizontal="center" vertical="center"/>
    </xf>
    <xf numFmtId="0" fontId="124" fillId="2" borderId="9" xfId="177" applyFont="1" applyFill="1" applyBorder="1" applyAlignment="1">
      <alignment horizontal="center" vertical="center"/>
    </xf>
    <xf numFmtId="0" fontId="124" fillId="2" borderId="28" xfId="177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28" xfId="0" applyFont="1" applyFill="1" applyBorder="1" applyAlignment="1">
      <alignment horizontal="center" vertical="center"/>
    </xf>
    <xf numFmtId="179" fontId="18" fillId="2" borderId="26" xfId="1" applyNumberFormat="1" applyFont="1" applyFill="1" applyBorder="1" applyAlignment="1">
      <alignment horizontal="center" vertical="center"/>
    </xf>
    <xf numFmtId="0" fontId="144" fillId="0" borderId="0" xfId="139" applyNumberFormat="1" applyFont="1" applyFill="1">
      <alignment vertical="center"/>
    </xf>
    <xf numFmtId="184" fontId="144" fillId="0" borderId="56" xfId="0" applyNumberFormat="1" applyFont="1" applyFill="1" applyBorder="1" applyAlignment="1">
      <alignment horizontal="center" vertical="center"/>
    </xf>
    <xf numFmtId="0" fontId="144" fillId="0" borderId="56" xfId="0" applyFont="1" applyFill="1" applyBorder="1">
      <alignment vertical="center"/>
    </xf>
    <xf numFmtId="0" fontId="145" fillId="0" borderId="56" xfId="0" applyFont="1" applyFill="1" applyBorder="1" applyAlignment="1">
      <alignment horizontal="center" vertical="center"/>
    </xf>
    <xf numFmtId="0" fontId="145" fillId="0" borderId="56" xfId="139" applyNumberFormat="1" applyFont="1" applyFill="1" applyBorder="1" applyAlignment="1">
      <alignment horizontal="center" vertical="center" wrapText="1" shrinkToFit="1"/>
    </xf>
    <xf numFmtId="0" fontId="146" fillId="0" borderId="56" xfId="0" applyFont="1" applyFill="1" applyBorder="1" applyAlignment="1">
      <alignment horizontal="center" vertical="center"/>
    </xf>
    <xf numFmtId="178" fontId="145" fillId="0" borderId="56" xfId="0" applyNumberFormat="1" applyFont="1" applyFill="1" applyBorder="1" applyAlignment="1">
      <alignment horizontal="center" vertical="center"/>
    </xf>
    <xf numFmtId="0" fontId="147" fillId="0" borderId="56" xfId="0" applyFont="1" applyFill="1" applyBorder="1" applyAlignment="1">
      <alignment horizontal="center" vertical="center"/>
    </xf>
    <xf numFmtId="180" fontId="146" fillId="0" borderId="56" xfId="1" applyNumberFormat="1" applyFont="1" applyFill="1" applyBorder="1" applyAlignment="1">
      <alignment horizontal="center" vertical="center"/>
    </xf>
    <xf numFmtId="183" fontId="146" fillId="0" borderId="56" xfId="4" applyNumberFormat="1" applyFont="1" applyFill="1" applyBorder="1" applyAlignment="1">
      <alignment horizontal="right" vertical="center" shrinkToFit="1"/>
    </xf>
    <xf numFmtId="180" fontId="146" fillId="0" borderId="56" xfId="4" applyNumberFormat="1" applyFont="1" applyFill="1" applyBorder="1" applyAlignment="1">
      <alignment vertical="center" shrinkToFit="1"/>
    </xf>
    <xf numFmtId="180" fontId="145" fillId="0" borderId="56" xfId="4" applyNumberFormat="1" applyFont="1" applyFill="1" applyBorder="1" applyAlignment="1">
      <alignment vertical="center" shrinkToFit="1"/>
    </xf>
    <xf numFmtId="187" fontId="145" fillId="0" borderId="56" xfId="139" applyFont="1" applyFill="1" applyBorder="1" applyAlignment="1">
      <alignment horizontal="left" vertical="center" shrinkToFit="1"/>
    </xf>
    <xf numFmtId="187" fontId="145" fillId="0" borderId="56" xfId="139" quotePrefix="1" applyFont="1" applyFill="1" applyBorder="1" applyAlignment="1">
      <alignment vertical="center" shrinkToFit="1"/>
    </xf>
    <xf numFmtId="180" fontId="145" fillId="0" borderId="0" xfId="1" applyNumberFormat="1" applyFont="1" applyFill="1">
      <alignment vertical="center"/>
    </xf>
    <xf numFmtId="187" fontId="145" fillId="0" borderId="0" xfId="139" applyFont="1" applyFill="1">
      <alignment vertical="center"/>
    </xf>
    <xf numFmtId="187" fontId="145" fillId="0" borderId="0" xfId="139" applyFont="1" applyFill="1" applyAlignment="1">
      <alignment vertical="center" shrinkToFit="1"/>
    </xf>
    <xf numFmtId="178" fontId="146" fillId="0" borderId="56" xfId="0" applyNumberFormat="1" applyFont="1" applyFill="1" applyBorder="1" applyAlignment="1">
      <alignment horizontal="center" vertical="center"/>
    </xf>
    <xf numFmtId="187" fontId="147" fillId="0" borderId="56" xfId="139" applyFont="1" applyFill="1" applyBorder="1">
      <alignment vertical="center"/>
    </xf>
    <xf numFmtId="0" fontId="145" fillId="0" borderId="56" xfId="0" applyFont="1" applyFill="1" applyBorder="1" applyAlignment="1">
      <alignment horizontal="left" vertical="center"/>
    </xf>
    <xf numFmtId="187" fontId="147" fillId="0" borderId="0" xfId="139" applyFont="1" applyFill="1">
      <alignment vertical="center"/>
    </xf>
    <xf numFmtId="0" fontId="145" fillId="0" borderId="0" xfId="139" applyNumberFormat="1" applyFont="1">
      <alignment vertical="center"/>
    </xf>
    <xf numFmtId="184" fontId="145" fillId="0" borderId="56" xfId="0" applyNumberFormat="1" applyFont="1" applyBorder="1" applyAlignment="1">
      <alignment horizontal="center" vertical="center"/>
    </xf>
    <xf numFmtId="0" fontId="145" fillId="0" borderId="56" xfId="0" applyFont="1" applyBorder="1">
      <alignment vertical="center"/>
    </xf>
    <xf numFmtId="0" fontId="145" fillId="0" borderId="56" xfId="0" applyFont="1" applyBorder="1" applyAlignment="1">
      <alignment horizontal="center" vertical="center"/>
    </xf>
    <xf numFmtId="0" fontId="145" fillId="0" borderId="56" xfId="139" applyNumberFormat="1" applyFont="1" applyBorder="1" applyAlignment="1">
      <alignment horizontal="center" vertical="center" wrapText="1" shrinkToFit="1"/>
    </xf>
    <xf numFmtId="0" fontId="146" fillId="0" borderId="56" xfId="0" applyFont="1" applyBorder="1" applyAlignment="1">
      <alignment horizontal="center" vertical="center"/>
    </xf>
    <xf numFmtId="178" fontId="146" fillId="0" borderId="56" xfId="0" applyNumberFormat="1" applyFont="1" applyBorder="1" applyAlignment="1">
      <alignment horizontal="center" vertical="center"/>
    </xf>
    <xf numFmtId="187" fontId="147" fillId="0" borderId="56" xfId="139" applyFont="1" applyBorder="1">
      <alignment vertical="center"/>
    </xf>
    <xf numFmtId="187" fontId="145" fillId="0" borderId="56" xfId="139" applyFont="1" applyBorder="1" applyAlignment="1">
      <alignment horizontal="left" vertical="center" shrinkToFit="1"/>
    </xf>
    <xf numFmtId="187" fontId="145" fillId="0" borderId="56" xfId="139" quotePrefix="1" applyFont="1" applyBorder="1" applyAlignment="1">
      <alignment vertical="center" shrinkToFit="1"/>
    </xf>
    <xf numFmtId="187" fontId="145" fillId="0" borderId="0" xfId="139" applyFont="1">
      <alignment vertical="center"/>
    </xf>
    <xf numFmtId="187" fontId="147" fillId="0" borderId="0" xfId="139" applyFont="1">
      <alignment vertical="center"/>
    </xf>
    <xf numFmtId="0" fontId="144" fillId="0" borderId="56" xfId="0" applyFont="1" applyFill="1" applyBorder="1" applyAlignment="1">
      <alignment horizontal="left" vertical="center"/>
    </xf>
    <xf numFmtId="0" fontId="145" fillId="0" borderId="56" xfId="0" applyFont="1" applyFill="1" applyBorder="1">
      <alignment vertical="center"/>
    </xf>
    <xf numFmtId="0" fontId="131" fillId="0" borderId="0" xfId="139" applyNumberFormat="1" applyFont="1" applyFill="1">
      <alignment vertical="center"/>
    </xf>
    <xf numFmtId="184" fontId="131" fillId="0" borderId="56" xfId="0" applyNumberFormat="1" applyFont="1" applyFill="1" applyBorder="1" applyAlignment="1">
      <alignment horizontal="center" vertical="center"/>
    </xf>
    <xf numFmtId="0" fontId="148" fillId="0" borderId="56" xfId="0" applyFont="1" applyFill="1" applyBorder="1" applyAlignment="1">
      <alignment horizontal="left" vertical="center"/>
    </xf>
    <xf numFmtId="0" fontId="131" fillId="0" borderId="56" xfId="0" applyFont="1" applyFill="1" applyBorder="1" applyAlignment="1">
      <alignment horizontal="center" vertical="center"/>
    </xf>
    <xf numFmtId="0" fontId="131" fillId="0" borderId="56" xfId="139" applyNumberFormat="1" applyFont="1" applyFill="1" applyBorder="1" applyAlignment="1">
      <alignment horizontal="center" vertical="center" wrapText="1" shrinkToFit="1"/>
    </xf>
    <xf numFmtId="0" fontId="139" fillId="0" borderId="56" xfId="0" applyFont="1" applyFill="1" applyBorder="1" applyAlignment="1">
      <alignment horizontal="center" vertical="center"/>
    </xf>
    <xf numFmtId="178" fontId="139" fillId="0" borderId="56" xfId="0" applyNumberFormat="1" applyFont="1" applyFill="1" applyBorder="1" applyAlignment="1">
      <alignment horizontal="center" vertical="center"/>
    </xf>
    <xf numFmtId="180" fontId="139" fillId="0" borderId="56" xfId="1" applyNumberFormat="1" applyFont="1" applyFill="1" applyBorder="1" applyAlignment="1">
      <alignment horizontal="center" vertical="center"/>
    </xf>
    <xf numFmtId="183" fontId="139" fillId="0" borderId="56" xfId="4" applyNumberFormat="1" applyFont="1" applyFill="1" applyBorder="1" applyAlignment="1">
      <alignment horizontal="right" vertical="center" shrinkToFit="1"/>
    </xf>
    <xf numFmtId="180" fontId="139" fillId="0" borderId="56" xfId="4" applyNumberFormat="1" applyFont="1" applyFill="1" applyBorder="1" applyAlignment="1">
      <alignment vertical="center" shrinkToFit="1"/>
    </xf>
    <xf numFmtId="180" fontId="131" fillId="0" borderId="56" xfId="4" applyNumberFormat="1" applyFont="1" applyFill="1" applyBorder="1" applyAlignment="1">
      <alignment vertical="center" shrinkToFit="1"/>
    </xf>
    <xf numFmtId="187" fontId="131" fillId="0" borderId="56" xfId="139" applyFont="1" applyFill="1" applyBorder="1" applyAlignment="1">
      <alignment horizontal="left" vertical="center" shrinkToFit="1"/>
    </xf>
    <xf numFmtId="187" fontId="131" fillId="0" borderId="56" xfId="139" quotePrefix="1" applyFont="1" applyFill="1" applyBorder="1" applyAlignment="1">
      <alignment vertical="center" shrinkToFit="1"/>
    </xf>
    <xf numFmtId="180" fontId="131" fillId="0" borderId="0" xfId="1" applyNumberFormat="1" applyFont="1" applyFill="1">
      <alignment vertical="center"/>
    </xf>
    <xf numFmtId="187" fontId="131" fillId="0" borderId="0" xfId="139" applyFont="1" applyFill="1">
      <alignment vertical="center"/>
    </xf>
    <xf numFmtId="187" fontId="131" fillId="0" borderId="0" xfId="139" applyFont="1" applyFill="1" applyAlignment="1">
      <alignment vertical="center" shrinkToFit="1"/>
    </xf>
    <xf numFmtId="178" fontId="131" fillId="0" borderId="56" xfId="0" applyNumberFormat="1" applyFont="1" applyFill="1" applyBorder="1" applyAlignment="1">
      <alignment horizontal="center" vertical="center"/>
    </xf>
    <xf numFmtId="0" fontId="135" fillId="0" borderId="56" xfId="0" applyFont="1" applyFill="1" applyBorder="1" applyAlignment="1">
      <alignment horizontal="center" vertical="center"/>
    </xf>
    <xf numFmtId="0" fontId="131" fillId="0" borderId="56" xfId="0" applyFont="1" applyFill="1" applyBorder="1" applyAlignment="1">
      <alignment horizontal="left" vertical="center"/>
    </xf>
    <xf numFmtId="187" fontId="148" fillId="0" borderId="56" xfId="139" applyFont="1" applyFill="1" applyBorder="1" applyAlignment="1">
      <alignment horizontal="left" vertical="center" shrinkToFit="1"/>
    </xf>
    <xf numFmtId="187" fontId="135" fillId="0" borderId="0" xfId="139" applyFont="1" applyFill="1">
      <alignment vertical="center"/>
    </xf>
    <xf numFmtId="182" fontId="145" fillId="0" borderId="56" xfId="139" applyNumberFormat="1" applyFont="1" applyFill="1" applyBorder="1" applyAlignment="1">
      <alignment horizontal="center" vertical="center" wrapText="1" shrinkToFit="1"/>
    </xf>
    <xf numFmtId="182" fontId="131" fillId="0" borderId="56" xfId="139" applyNumberFormat="1" applyFont="1" applyFill="1" applyBorder="1" applyAlignment="1">
      <alignment horizontal="center" vertical="center" wrapText="1" shrinkToFit="1"/>
    </xf>
    <xf numFmtId="182" fontId="145" fillId="0" borderId="56" xfId="139" applyNumberFormat="1" applyFont="1" applyBorder="1" applyAlignment="1">
      <alignment horizontal="center" vertical="center" wrapText="1" shrinkToFit="1"/>
    </xf>
    <xf numFmtId="182" fontId="127" fillId="0" borderId="56" xfId="1" applyNumberFormat="1" applyFont="1" applyFill="1" applyBorder="1" applyAlignment="1">
      <alignment vertical="center"/>
    </xf>
    <xf numFmtId="0" fontId="131" fillId="0" borderId="56" xfId="0" applyFont="1" applyFill="1" applyBorder="1">
      <alignment vertical="center"/>
    </xf>
    <xf numFmtId="187" fontId="135" fillId="0" borderId="56" xfId="139" applyFont="1" applyFill="1" applyBorder="1">
      <alignment vertical="center"/>
    </xf>
    <xf numFmtId="0" fontId="148" fillId="0" borderId="56" xfId="139" applyNumberFormat="1" applyFont="1" applyFill="1" applyBorder="1" applyAlignment="1">
      <alignment horizontal="center" vertical="center" wrapText="1" shrinkToFit="1"/>
    </xf>
    <xf numFmtId="187" fontId="131" fillId="0" borderId="56" xfId="139" quotePrefix="1" applyFont="1" applyFill="1" applyBorder="1" applyAlignment="1">
      <alignment horizontal="left" vertical="center" shrinkToFit="1"/>
    </xf>
    <xf numFmtId="187" fontId="148" fillId="0" borderId="56" xfId="139" quotePrefix="1" applyFont="1" applyFill="1" applyBorder="1" applyAlignment="1">
      <alignment vertical="center" shrinkToFit="1"/>
    </xf>
    <xf numFmtId="0" fontId="131" fillId="0" borderId="0" xfId="139" applyNumberFormat="1" applyFont="1">
      <alignment vertical="center"/>
    </xf>
    <xf numFmtId="180" fontId="135" fillId="0" borderId="0" xfId="1" applyNumberFormat="1" applyFont="1">
      <alignment vertical="center"/>
    </xf>
    <xf numFmtId="187" fontId="131" fillId="0" borderId="0" xfId="139" applyFont="1">
      <alignment vertical="center"/>
    </xf>
    <xf numFmtId="184" fontId="131" fillId="0" borderId="56" xfId="0" applyNumberFormat="1" applyFont="1" applyBorder="1" applyAlignment="1">
      <alignment horizontal="center" vertical="center"/>
    </xf>
    <xf numFmtId="0" fontId="131" fillId="0" borderId="56" xfId="0" applyFont="1" applyBorder="1" applyAlignment="1">
      <alignment horizontal="left" vertical="center"/>
    </xf>
    <xf numFmtId="0" fontId="131" fillId="0" borderId="56" xfId="0" applyFont="1" applyBorder="1" applyAlignment="1">
      <alignment horizontal="center" vertical="center"/>
    </xf>
    <xf numFmtId="182" fontId="131" fillId="0" borderId="56" xfId="139" applyNumberFormat="1" applyFont="1" applyBorder="1" applyAlignment="1">
      <alignment horizontal="center" vertical="center" wrapText="1" shrinkToFit="1"/>
    </xf>
    <xf numFmtId="0" fontId="139" fillId="0" borderId="56" xfId="0" applyFont="1" applyBorder="1" applyAlignment="1">
      <alignment horizontal="center" vertical="center"/>
    </xf>
    <xf numFmtId="0" fontId="131" fillId="0" borderId="56" xfId="139" applyNumberFormat="1" applyFont="1" applyBorder="1" applyAlignment="1">
      <alignment horizontal="center" vertical="center" wrapText="1" shrinkToFit="1"/>
    </xf>
    <xf numFmtId="178" fontId="139" fillId="0" borderId="56" xfId="0" applyNumberFormat="1" applyFont="1" applyBorder="1" applyAlignment="1">
      <alignment horizontal="center" vertical="center"/>
    </xf>
    <xf numFmtId="187" fontId="148" fillId="0" borderId="56" xfId="139" quotePrefix="1" applyFont="1" applyBorder="1" applyAlignment="1">
      <alignment horizontal="left" vertical="center" shrinkToFit="1"/>
    </xf>
    <xf numFmtId="187" fontId="131" fillId="0" borderId="56" xfId="139" quotePrefix="1" applyFont="1" applyBorder="1" applyAlignment="1">
      <alignment vertical="center" shrinkToFit="1"/>
    </xf>
    <xf numFmtId="187" fontId="148" fillId="0" borderId="56" xfId="139" quotePrefix="1" applyFont="1" applyBorder="1" applyAlignment="1">
      <alignment vertical="center" shrinkToFit="1"/>
    </xf>
    <xf numFmtId="187" fontId="135" fillId="0" borderId="0" xfId="139" applyFont="1">
      <alignment vertical="center"/>
    </xf>
  </cellXfs>
  <cellStyles count="564">
    <cellStyle name="백분율" xfId="134" builtinId="5"/>
    <cellStyle name="常规 2" xfId="177" xr:uid="{B88EB9AE-0EF4-4D33-B133-1F9551D804CD}"/>
    <cellStyle name="常规 3" xfId="132" xr:uid="{00000000-0005-0000-0000-000000000000}"/>
    <cellStyle name="常规 4" xfId="186" xr:uid="{237CDE1D-D435-4F06-AF28-0FE15D402672}"/>
    <cellStyle name="常规 5" xfId="189" xr:uid="{5620089D-69D4-419D-834D-B96EE23F4EBD}"/>
    <cellStyle name="常规 5 2" xfId="201" xr:uid="{157FB572-AFBD-49CF-83C3-A41523E94940}"/>
    <cellStyle name="常规 5 2 2" xfId="225" xr:uid="{AFD382E9-3592-4911-AFC7-B40623C02FC6}"/>
    <cellStyle name="常规 5 2 2 2" xfId="273" xr:uid="{0C5F724A-2041-4AB9-843D-C1D1F1783B2E}"/>
    <cellStyle name="常规 5 2 2 2 2" xfId="369" xr:uid="{1B18DEAC-1517-47E2-8B7B-672AEB404D6C}"/>
    <cellStyle name="常规 5 2 2 2 2 2" xfId="561" xr:uid="{37269C33-D23C-49DE-A302-77327A2EB991}"/>
    <cellStyle name="常规 5 2 2 2 3" xfId="465" xr:uid="{7A934568-0A90-47E8-861C-E53D544922DA}"/>
    <cellStyle name="常规 5 2 2 3" xfId="321" xr:uid="{49474005-BE69-446E-B4EF-284935321729}"/>
    <cellStyle name="常规 5 2 2 3 2" xfId="513" xr:uid="{59FE0492-D082-4A91-A156-D3A4AC8AE4D6}"/>
    <cellStyle name="常规 5 2 2 4" xfId="417" xr:uid="{BD4E1A9C-0D33-4D19-A5EA-B559DC955857}"/>
    <cellStyle name="常规 5 2 3" xfId="249" xr:uid="{CAACA940-13FE-4930-A163-F719EF70DB43}"/>
    <cellStyle name="常规 5 2 3 2" xfId="345" xr:uid="{C3AF260E-3BEE-4AA2-BD15-F0F4262D4F3B}"/>
    <cellStyle name="常规 5 2 3 2 2" xfId="537" xr:uid="{5FC0AA3E-3379-4D14-A841-79A985B89038}"/>
    <cellStyle name="常规 5 2 3 3" xfId="441" xr:uid="{1330E44F-D411-4094-9F5A-D0B6A4F76EA5}"/>
    <cellStyle name="常规 5 2 4" xfId="297" xr:uid="{6E6AD665-0911-4285-9F1D-C7B7B536F422}"/>
    <cellStyle name="常规 5 2 4 2" xfId="489" xr:uid="{EE53518A-0FEF-4577-870B-671AD39EEA00}"/>
    <cellStyle name="常规 5 2 5" xfId="393" xr:uid="{674E30B0-B1A4-4EF1-ABE1-C3C4FE54ED9C}"/>
    <cellStyle name="常规 5 3" xfId="213" xr:uid="{5D7A941B-A181-46F9-9F2D-5F8083084D3C}"/>
    <cellStyle name="常规 5 3 2" xfId="261" xr:uid="{E3433C5C-9B76-4DC3-B733-D189836F65AB}"/>
    <cellStyle name="常规 5 3 2 2" xfId="357" xr:uid="{AF101CA0-0B23-4D8D-8E82-136B38F0E1D7}"/>
    <cellStyle name="常规 5 3 2 2 2" xfId="549" xr:uid="{F568C065-2954-4111-A3A6-D75E583C413E}"/>
    <cellStyle name="常规 5 3 2 3" xfId="453" xr:uid="{5E6A9A5B-12E7-4E4F-803A-5D383BB12077}"/>
    <cellStyle name="常规 5 3 3" xfId="309" xr:uid="{93253AC3-DD91-47D2-8AD1-BB91883E9FD4}"/>
    <cellStyle name="常规 5 3 3 2" xfId="501" xr:uid="{1A621996-9CAC-4FF4-8852-F4ECD5E80C43}"/>
    <cellStyle name="常规 5 3 4" xfId="405" xr:uid="{1641E676-9446-4124-9A4F-618084B6D8F5}"/>
    <cellStyle name="常规 5 4" xfId="237" xr:uid="{E3C93A49-6922-4DFB-9247-652CC4EE67BB}"/>
    <cellStyle name="常规 5 4 2" xfId="333" xr:uid="{CA799334-2910-49D8-B5B8-7BED2C5724A4}"/>
    <cellStyle name="常规 5 4 2 2" xfId="525" xr:uid="{B85F5661-BF1C-4CBD-8DF7-3B5AD96AD6D3}"/>
    <cellStyle name="常规 5 4 3" xfId="429" xr:uid="{15B38236-C114-4940-9B15-DC09899C47DE}"/>
    <cellStyle name="常规 5 5" xfId="285" xr:uid="{D0B7981C-54B3-4B78-B663-96BE69FA672C}"/>
    <cellStyle name="常规 5 5 2" xfId="477" xr:uid="{3CD0ACE8-E582-46EE-8E84-D894644D51C9}"/>
    <cellStyle name="常规 5 6" xfId="381" xr:uid="{4C576157-4C5D-4D68-A621-9DE979309B59}"/>
    <cellStyle name="常规 6" xfId="190" xr:uid="{C42AB388-003F-4EC3-9697-833A5E37BCD2}"/>
    <cellStyle name="常规 6 2" xfId="202" xr:uid="{4A3DD494-9C3A-49A6-B7C0-135C959F7AEC}"/>
    <cellStyle name="常规 6 2 2" xfId="226" xr:uid="{7037F33C-72F9-436D-BEA4-BAF302A7C26C}"/>
    <cellStyle name="常规 6 2 2 2" xfId="274" xr:uid="{F37AABF3-0B40-4FE5-8673-5D6616368799}"/>
    <cellStyle name="常规 6 2 2 2 2" xfId="370" xr:uid="{73680EF2-21C2-4D7C-BA6D-ACE0E041821B}"/>
    <cellStyle name="常规 6 2 2 2 2 2" xfId="562" xr:uid="{56BD6C18-5C85-40B1-9E32-DEABD3E60F19}"/>
    <cellStyle name="常规 6 2 2 2 3" xfId="466" xr:uid="{29D53081-6B76-4AAD-86C4-4F95AFE65CB1}"/>
    <cellStyle name="常规 6 2 2 3" xfId="322" xr:uid="{DFFCA2A9-9397-4632-99CD-DB8870FE3C08}"/>
    <cellStyle name="常规 6 2 2 3 2" xfId="514" xr:uid="{8870227E-B2FF-46BD-A518-658141F5F0B2}"/>
    <cellStyle name="常规 6 2 2 4" xfId="418" xr:uid="{18ABB9CC-D629-4EF8-A704-6404CD0A9DA0}"/>
    <cellStyle name="常规 6 2 3" xfId="250" xr:uid="{BF21E4C2-CFBE-49E6-80C8-E11320073BD1}"/>
    <cellStyle name="常规 6 2 3 2" xfId="346" xr:uid="{B09509AD-71D5-46E1-9C2F-1C1CB51DB663}"/>
    <cellStyle name="常规 6 2 3 2 2" xfId="538" xr:uid="{41B54D72-0C7C-4E3F-8378-42546D510BDB}"/>
    <cellStyle name="常规 6 2 3 3" xfId="442" xr:uid="{F9692172-F289-4010-814B-67027E8BADD0}"/>
    <cellStyle name="常规 6 2 4" xfId="298" xr:uid="{67140327-03DE-4A29-8DBE-21C6D986CC50}"/>
    <cellStyle name="常规 6 2 4 2" xfId="490" xr:uid="{A9ECB383-84EA-4D94-AA79-C8234608505A}"/>
    <cellStyle name="常规 6 2 5" xfId="394" xr:uid="{633A9A6F-7F32-4297-AC3C-B63544E7A6CD}"/>
    <cellStyle name="常规 6 3" xfId="214" xr:uid="{8F2F335E-D897-4D5F-BC27-D865B5CFA038}"/>
    <cellStyle name="常规 6 3 2" xfId="262" xr:uid="{47ACDB73-AC00-4E30-9246-744CA0DE49F9}"/>
    <cellStyle name="常规 6 3 2 2" xfId="358" xr:uid="{0F70193E-F7F0-4278-9C4B-6FB445A6D414}"/>
    <cellStyle name="常规 6 3 2 2 2" xfId="550" xr:uid="{230BFC57-FA5D-4CF4-B0BE-1A6D39B33880}"/>
    <cellStyle name="常规 6 3 2 3" xfId="454" xr:uid="{5C3B7126-D067-4C92-88FC-9CA1E78C8D60}"/>
    <cellStyle name="常规 6 3 3" xfId="310" xr:uid="{6C78E891-8B52-40E7-8AED-976FBA54B21B}"/>
    <cellStyle name="常规 6 3 3 2" xfId="502" xr:uid="{5FA58F02-7E9A-41D4-B829-1DB18434CB60}"/>
    <cellStyle name="常规 6 3 4" xfId="406" xr:uid="{B6B6DA1D-E3AC-4EA6-9B6B-00E4E8771E82}"/>
    <cellStyle name="常规 6 4" xfId="238" xr:uid="{EED39619-120C-4588-8B2C-1641CD9EFF3D}"/>
    <cellStyle name="常规 6 4 2" xfId="334" xr:uid="{48E36009-8501-42C6-AE70-AEEEE2219AEC}"/>
    <cellStyle name="常规 6 4 2 2" xfId="526" xr:uid="{2E918DC0-3930-4477-8701-A0148D4DBE79}"/>
    <cellStyle name="常规 6 4 3" xfId="430" xr:uid="{A8E7654E-9136-4E57-B0C0-D9FD33994C51}"/>
    <cellStyle name="常规 6 5" xfId="286" xr:uid="{84303BDC-6691-41D4-A343-171273D305C2}"/>
    <cellStyle name="常规 6 5 2" xfId="478" xr:uid="{E4C3375D-64C3-489C-9BA0-4838614787A5}"/>
    <cellStyle name="常规 6 6" xfId="382" xr:uid="{2CC4E830-9E83-43C1-81C7-A2F880D34116}"/>
    <cellStyle name="常规 7" xfId="563" xr:uid="{A8630F02-2688-45EB-81D5-D6090645674C}"/>
    <cellStyle name="쉼표 [0]" xfId="1" builtinId="6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6" xr:uid="{12B7E4BC-1D12-4446-B367-025A2ABC42CD}"/>
    <cellStyle name="쉼표 [0] 2 2 2 2 2 3" xfId="145" xr:uid="{CD52524A-5B98-4FE7-82B5-8F36B4865973}"/>
    <cellStyle name="쉼표 [0] 2 2 2 2 3" xfId="10" xr:uid="{00000000-0005-0000-0000-000008000000}"/>
    <cellStyle name="쉼표 [0] 2 2 2 2 3 2" xfId="154" xr:uid="{B1F8D7AE-9D70-499D-B723-238F3F987FC2}"/>
    <cellStyle name="쉼표 [0] 2 2 2 2 4" xfId="144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6" xr:uid="{2E7FA676-CF19-4903-ACEE-E1AA69DDE12D}"/>
    <cellStyle name="쉼표 [0] 2 2 2 3 3" xfId="155" xr:uid="{4BACA29F-971E-4AC3-AF07-938D81762025}"/>
    <cellStyle name="쉼표 [0] 2 2 2 4" xfId="13" xr:uid="{00000000-0005-0000-0000-00000B000000}"/>
    <cellStyle name="쉼표 [0] 2 2 2 4 2" xfId="149" xr:uid="{3BB0C13C-EBFB-48DB-801B-4EAA8B0DB12C}"/>
    <cellStyle name="쉼표 [0] 2 2 2 5" xfId="148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1" xr:uid="{4EB98886-C039-4B6A-86FC-F64A8184F27C}"/>
    <cellStyle name="쉼표 [0] 2 2 3 2 3" xfId="147" xr:uid="{59933F40-3B3F-4E74-BB44-CA6174868344}"/>
    <cellStyle name="쉼표 [0] 2 2 3 3" xfId="17" xr:uid="{00000000-0005-0000-0000-00000F000000}"/>
    <cellStyle name="쉼표 [0] 2 2 3 3 2" xfId="152" xr:uid="{761F4F86-95BD-4E66-A6B9-AEC236B55879}"/>
    <cellStyle name="쉼표 [0] 2 2 3 4" xfId="157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9" xr:uid="{05875958-91D0-496B-94A2-3E524A002C5B}"/>
    <cellStyle name="쉼표 [0] 2 2 4 3" xfId="158" xr:uid="{6F082DC7-5979-497F-9DB6-75688042331D}"/>
    <cellStyle name="쉼표 [0] 2 2 5" xfId="20" xr:uid="{00000000-0005-0000-0000-000012000000}"/>
    <cellStyle name="쉼표 [0] 2 2 5 2" xfId="160" xr:uid="{2B8C71ED-F2D4-4808-B321-06C5184226F0}"/>
    <cellStyle name="쉼표 [0] 2 2 6" xfId="150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4" xr:uid="{7BED4959-C414-4AB2-B1E5-02F7DD5C05BC}"/>
    <cellStyle name="쉼표 [0] 2 3 2 2 3" xfId="163" xr:uid="{906CFF98-CBE4-44B2-8337-97A639DD1B03}"/>
    <cellStyle name="쉼표 [0] 2 3 2 3" xfId="25" xr:uid="{00000000-0005-0000-0000-000017000000}"/>
    <cellStyle name="쉼표 [0] 2 3 2 3 2" xfId="165" xr:uid="{2E66AEC6-A969-4C22-A9F7-814A2D8F0B27}"/>
    <cellStyle name="쉼표 [0] 2 3 2 4" xfId="162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7" xr:uid="{94B331CB-8D92-4BCE-BD38-A9B49D525C06}"/>
    <cellStyle name="쉼표 [0] 2 3 3 3" xfId="166" xr:uid="{455A9DF7-CC78-4FFF-96E4-A2ECAEFA808E}"/>
    <cellStyle name="쉼표 [0] 2 3 4" xfId="28" xr:uid="{00000000-0005-0000-0000-00001A000000}"/>
    <cellStyle name="쉼표 [0] 2 3 4 2" xfId="168" xr:uid="{41EF4196-6FF2-452C-91E5-36866BF9112A}"/>
    <cellStyle name="쉼표 [0] 2 3 5" xfId="161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70" xr:uid="{FED29DC7-D15A-4637-8E5C-2A3FEC3B455C}"/>
    <cellStyle name="쉼표 [0] 2 4 2 3" xfId="169" xr:uid="{7913371C-9F0D-47C7-89D7-1E474A30F56D}"/>
    <cellStyle name="쉼표 [0] 2 4 3" xfId="32" xr:uid="{00000000-0005-0000-0000-00001E000000}"/>
    <cellStyle name="쉼표 [0] 2 4 3 2" xfId="171" xr:uid="{74B050D4-8468-4CB0-8CCC-37278B1E848E}"/>
    <cellStyle name="쉼표 [0] 2 4 4" xfId="143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3" xr:uid="{BA945C7C-38A9-4EA8-B912-FB010BEBD4D6}"/>
    <cellStyle name="쉼표 [0] 2 5 3" xfId="172" xr:uid="{55E0D5FC-5B01-42AA-829A-E5B0C685C9DB}"/>
    <cellStyle name="쉼표 [0] 2 6" xfId="35" xr:uid="{00000000-0005-0000-0000-000021000000}"/>
    <cellStyle name="쉼표 [0] 2 6 2" xfId="174" xr:uid="{8D963667-8BC2-4BFA-83B0-5ADB617EFB48}"/>
    <cellStyle name="쉼표 [0] 2 7" xfId="136" xr:uid="{D67DCB4A-4AE3-4D7F-9DDD-66FD1CBA9B7D}"/>
    <cellStyle name="쉼표 [0] 2 8" xfId="153" xr:uid="{CB40E740-BDB4-4858-B01F-D730DAF59383}"/>
    <cellStyle name="쉼표 [0] 3" xfId="135" xr:uid="{94C07A67-88C2-45DC-836B-41BDC74DEF34}"/>
    <cellStyle name="쉼표 [0] 3 2" xfId="141" xr:uid="{27476DB9-E729-49ED-93FD-0A5C6D395944}"/>
    <cellStyle name="쉼표 [0] 4" xfId="142" xr:uid="{2889232E-B9E5-497A-9851-43ADA4F95C54}"/>
    <cellStyle name="쉼표 2" xfId="175" xr:uid="{09C5A681-ECA6-413E-914A-24E5327697C6}"/>
    <cellStyle name="쉼표 2 2" xfId="180" xr:uid="{DE588551-642F-403C-9BE1-298E8D216A8F}"/>
    <cellStyle name="쉼표 2 2 2" xfId="184" xr:uid="{6C7C7D39-8DAB-40D6-8B7C-84AA3B231D51}"/>
    <cellStyle name="쉼표 2 2 2 2" xfId="197" xr:uid="{B2B14773-DF52-4BAA-B60A-AE825840C3A2}"/>
    <cellStyle name="쉼표 2 2 2 2 2" xfId="221" xr:uid="{771BA692-3D82-44D4-8CDC-DDBBFC145167}"/>
    <cellStyle name="쉼표 2 2 2 2 2 2" xfId="269" xr:uid="{A542FA69-A06E-4EFF-99CC-90B2A442934C}"/>
    <cellStyle name="쉼표 2 2 2 2 2 2 2" xfId="365" xr:uid="{927FDD5C-0A88-4BEC-867D-1CE0338A5813}"/>
    <cellStyle name="쉼표 2 2 2 2 2 2 2 2" xfId="557" xr:uid="{E2A282E1-5E95-4988-84A9-C2CD2B4DF5D1}"/>
    <cellStyle name="쉼표 2 2 2 2 2 2 3" xfId="461" xr:uid="{5BBDAAB3-47D0-4C26-BCC5-2C748E649EE9}"/>
    <cellStyle name="쉼표 2 2 2 2 2 3" xfId="317" xr:uid="{168DD55A-DAFB-497B-B39E-9683284F0225}"/>
    <cellStyle name="쉼표 2 2 2 2 2 3 2" xfId="509" xr:uid="{06E2BD96-2D6E-4FD9-A7B9-523BCBF04345}"/>
    <cellStyle name="쉼표 2 2 2 2 2 4" xfId="413" xr:uid="{FCB323CC-5B51-46B6-846F-6BF083C65C80}"/>
    <cellStyle name="쉼표 2 2 2 2 3" xfId="245" xr:uid="{9419E706-B7A9-4110-B834-851F615C48BB}"/>
    <cellStyle name="쉼표 2 2 2 2 3 2" xfId="341" xr:uid="{C860DE54-4B4F-4375-8C9C-D90E8B31F35F}"/>
    <cellStyle name="쉼표 2 2 2 2 3 2 2" xfId="533" xr:uid="{880BCB7F-1721-4B84-B333-3BE772E0F285}"/>
    <cellStyle name="쉼표 2 2 2 2 3 3" xfId="437" xr:uid="{C7251775-89CF-47A7-9A24-BDBD48839382}"/>
    <cellStyle name="쉼표 2 2 2 2 4" xfId="293" xr:uid="{0EAF1201-9083-4704-847B-3585507C7382}"/>
    <cellStyle name="쉼표 2 2 2 2 4 2" xfId="485" xr:uid="{C8435E7C-13EB-4BD3-BAAA-3FBFC1115DAC}"/>
    <cellStyle name="쉼표 2 2 2 2 5" xfId="389" xr:uid="{42632387-CDDB-485A-8E17-9A8C450A2B3E}"/>
    <cellStyle name="쉼표 2 2 2 3" xfId="209" xr:uid="{B2FE4008-4718-46F0-9FC5-4A3307CFF01E}"/>
    <cellStyle name="쉼표 2 2 2 3 2" xfId="257" xr:uid="{694FDE57-E783-40C8-9818-A8F387275B50}"/>
    <cellStyle name="쉼표 2 2 2 3 2 2" xfId="353" xr:uid="{9ACAAD40-182C-4B8A-8DE1-33C3BEC81EFD}"/>
    <cellStyle name="쉼표 2 2 2 3 2 2 2" xfId="545" xr:uid="{44EFA329-8025-49FF-96D5-827FCE8CDF2C}"/>
    <cellStyle name="쉼표 2 2 2 3 2 3" xfId="449" xr:uid="{4F0C0FD0-87CF-4447-A977-2A2FEA1447A8}"/>
    <cellStyle name="쉼표 2 2 2 3 3" xfId="305" xr:uid="{8B331DA6-3D17-48DD-A82E-F876741D38B0}"/>
    <cellStyle name="쉼표 2 2 2 3 3 2" xfId="497" xr:uid="{0D234F59-2CFF-4B52-AEA6-A5107F172C95}"/>
    <cellStyle name="쉼표 2 2 2 3 4" xfId="401" xr:uid="{8296AC89-BEF0-4050-80BF-F41498D1F20C}"/>
    <cellStyle name="쉼표 2 2 2 4" xfId="233" xr:uid="{C7330B7D-20ED-4DAF-84EB-C98CEAB21CF0}"/>
    <cellStyle name="쉼표 2 2 2 4 2" xfId="329" xr:uid="{DA136C36-9AB2-491C-B692-146E4972D5C4}"/>
    <cellStyle name="쉼표 2 2 2 4 2 2" xfId="521" xr:uid="{12E18B0E-CD9F-4D5C-954B-1E566DFA3762}"/>
    <cellStyle name="쉼표 2 2 2 4 3" xfId="425" xr:uid="{BBE3ED01-C8E1-4A04-9D82-818239C69DDC}"/>
    <cellStyle name="쉼표 2 2 2 5" xfId="281" xr:uid="{445E1F63-833B-4C91-ADE0-2EBFE58D4A76}"/>
    <cellStyle name="쉼표 2 2 2 5 2" xfId="473" xr:uid="{6B5FFB6D-B4A1-465D-99E1-122DB429762E}"/>
    <cellStyle name="쉼표 2 2 2 6" xfId="377" xr:uid="{2E187D51-E731-4787-B3DE-BDE3F8179E5B}"/>
    <cellStyle name="쉼표 2 2 3" xfId="193" xr:uid="{4E988D6A-F228-469C-B826-7E74F014DEF3}"/>
    <cellStyle name="쉼표 2 2 3 2" xfId="217" xr:uid="{E9B5467B-D5C0-47EE-AFAA-FE32D75892CF}"/>
    <cellStyle name="쉼표 2 2 3 2 2" xfId="265" xr:uid="{12B356A5-7EA8-4231-BD1C-B0A79FBB26F1}"/>
    <cellStyle name="쉼표 2 2 3 2 2 2" xfId="361" xr:uid="{0F4685A8-2AE8-49C8-91C0-7A654694DB06}"/>
    <cellStyle name="쉼표 2 2 3 2 2 2 2" xfId="553" xr:uid="{612CD692-755E-4E9F-AD27-472921B1AE50}"/>
    <cellStyle name="쉼표 2 2 3 2 2 3" xfId="457" xr:uid="{41960E4F-E2C7-4556-9747-488FEDC96086}"/>
    <cellStyle name="쉼표 2 2 3 2 3" xfId="313" xr:uid="{EBDC6B24-A705-478A-906E-32579C78D63F}"/>
    <cellStyle name="쉼표 2 2 3 2 3 2" xfId="505" xr:uid="{DB1BDCB8-77AD-4582-987F-FD630D79E245}"/>
    <cellStyle name="쉼표 2 2 3 2 4" xfId="409" xr:uid="{6DAE47F1-F115-45E1-B2B9-08900AF417F5}"/>
    <cellStyle name="쉼표 2 2 3 3" xfId="241" xr:uid="{B4D37784-FB76-4464-8A40-8F1E3106C147}"/>
    <cellStyle name="쉼표 2 2 3 3 2" xfId="337" xr:uid="{EF4B302A-2A03-4026-8F50-D8C17902AE0B}"/>
    <cellStyle name="쉼표 2 2 3 3 2 2" xfId="529" xr:uid="{388989D3-D585-4A4C-8E0D-7F49DCD5EF0C}"/>
    <cellStyle name="쉼표 2 2 3 3 3" xfId="433" xr:uid="{2C75D367-E1D8-4982-978E-44CACC06DD7E}"/>
    <cellStyle name="쉼표 2 2 3 4" xfId="289" xr:uid="{E16047E2-7347-4636-A70A-CE741BF2FDAE}"/>
    <cellStyle name="쉼표 2 2 3 4 2" xfId="481" xr:uid="{0A8695C0-C9AB-4FC9-85F6-A6739FABBBDA}"/>
    <cellStyle name="쉼표 2 2 3 5" xfId="385" xr:uid="{24632706-B03C-493A-8508-4BE1C3404AA9}"/>
    <cellStyle name="쉼표 2 2 4" xfId="205" xr:uid="{E0ED7524-0CD1-4128-8400-C34C0F15F66A}"/>
    <cellStyle name="쉼표 2 2 4 2" xfId="253" xr:uid="{7C5DD8A5-B162-43B6-B39E-5B3F19176F71}"/>
    <cellStyle name="쉼표 2 2 4 2 2" xfId="349" xr:uid="{0C5A3F97-6240-4883-BD52-3BB6E88CE992}"/>
    <cellStyle name="쉼표 2 2 4 2 2 2" xfId="541" xr:uid="{AB0994B9-5260-4C5E-871B-DA999D84E213}"/>
    <cellStyle name="쉼표 2 2 4 2 3" xfId="445" xr:uid="{353D8D30-8158-46DB-A4CB-890B23C035C1}"/>
    <cellStyle name="쉼표 2 2 4 3" xfId="301" xr:uid="{009C2DEE-94B8-4DE7-9FF8-44909A138961}"/>
    <cellStyle name="쉼표 2 2 4 3 2" xfId="493" xr:uid="{5976A52D-3885-4603-BEFC-A49C325B8D7A}"/>
    <cellStyle name="쉼표 2 2 4 4" xfId="397" xr:uid="{092DFCCB-CA88-4969-BE49-2A35CB1F51D7}"/>
    <cellStyle name="쉼표 2 2 5" xfId="229" xr:uid="{69601666-069C-47E4-AB15-8499E81C78ED}"/>
    <cellStyle name="쉼표 2 2 5 2" xfId="325" xr:uid="{71AFAC4F-D9E0-4866-B34D-5EB1F1BAFF9F}"/>
    <cellStyle name="쉼표 2 2 5 2 2" xfId="517" xr:uid="{A6722BFC-5038-43FD-9760-39E2DA7D1141}"/>
    <cellStyle name="쉼표 2 2 5 3" xfId="421" xr:uid="{C83A5A06-A75C-4087-AD3E-E92B5E3EAC29}"/>
    <cellStyle name="쉼표 2 2 6" xfId="277" xr:uid="{0B301DFE-9879-47E8-BBE1-120958362DBD}"/>
    <cellStyle name="쉼표 2 2 6 2" xfId="469" xr:uid="{C85DF6C3-8175-4D11-AF62-C03A27D966FC}"/>
    <cellStyle name="쉼표 2 2 7" xfId="373" xr:uid="{6CB6A9DA-D11B-4152-A19E-B400684BC35B}"/>
    <cellStyle name="쉼표 2 3" xfId="182" xr:uid="{761DC08B-C687-49C6-B55C-D9975483DA2E}"/>
    <cellStyle name="쉼표 2 3 2" xfId="195" xr:uid="{51EBAE3D-80AB-4033-9B53-657709D427CD}"/>
    <cellStyle name="쉼표 2 3 2 2" xfId="219" xr:uid="{5F91F949-E45D-4AB7-8E4E-4ED27AA33A59}"/>
    <cellStyle name="쉼표 2 3 2 2 2" xfId="267" xr:uid="{E744B61F-7091-4FBD-BF7A-D8869E97516A}"/>
    <cellStyle name="쉼표 2 3 2 2 2 2" xfId="363" xr:uid="{A61CDEE5-34DE-4E8C-8C13-115E36EF9627}"/>
    <cellStyle name="쉼표 2 3 2 2 2 2 2" xfId="555" xr:uid="{1CD8D6CD-369C-420E-8116-9BB186688FC0}"/>
    <cellStyle name="쉼표 2 3 2 2 2 3" xfId="459" xr:uid="{2B14E7CB-E455-46D3-8695-8E8E7EEE7A9D}"/>
    <cellStyle name="쉼표 2 3 2 2 3" xfId="315" xr:uid="{6FF5DA73-2E41-4CE8-B752-416C640A95FE}"/>
    <cellStyle name="쉼표 2 3 2 2 3 2" xfId="507" xr:uid="{B02A52A6-6442-4150-A490-B645C5E1B120}"/>
    <cellStyle name="쉼표 2 3 2 2 4" xfId="411" xr:uid="{49C8FD30-43D8-47A1-A545-A3F2127A877B}"/>
    <cellStyle name="쉼표 2 3 2 3" xfId="243" xr:uid="{2E64A08F-646F-4848-AC75-C1079EAE9143}"/>
    <cellStyle name="쉼표 2 3 2 3 2" xfId="339" xr:uid="{F4A2999D-8A35-47C2-8569-03F244656B81}"/>
    <cellStyle name="쉼표 2 3 2 3 2 2" xfId="531" xr:uid="{33D8377E-5C5F-4241-B15B-CE5ECFC5E186}"/>
    <cellStyle name="쉼표 2 3 2 3 3" xfId="435" xr:uid="{D8F5D852-554A-4B75-B810-E1C70ABA7BD9}"/>
    <cellStyle name="쉼표 2 3 2 4" xfId="291" xr:uid="{05A6404E-F1BA-4798-B914-D5F81461A529}"/>
    <cellStyle name="쉼표 2 3 2 4 2" xfId="483" xr:uid="{DC1B3CC1-FCC5-47C0-9F08-44AC22CE499C}"/>
    <cellStyle name="쉼표 2 3 2 5" xfId="387" xr:uid="{11FAF79F-AD1E-404A-A2FB-6AE2482FCA28}"/>
    <cellStyle name="쉼표 2 3 3" xfId="207" xr:uid="{46DF85EB-FFF4-42A7-A150-21316AA8B7E8}"/>
    <cellStyle name="쉼표 2 3 3 2" xfId="255" xr:uid="{C1371C0B-DF64-40F4-977A-92B297868324}"/>
    <cellStyle name="쉼표 2 3 3 2 2" xfId="351" xr:uid="{D83D9C7C-B8B8-4CC5-B2C9-3FFD6FAA0BC0}"/>
    <cellStyle name="쉼표 2 3 3 2 2 2" xfId="543" xr:uid="{2C60AB52-8CE3-479C-9F8F-CBFB07BE1530}"/>
    <cellStyle name="쉼표 2 3 3 2 3" xfId="447" xr:uid="{670A91F1-95A1-4A10-8053-C4D5D8426A4D}"/>
    <cellStyle name="쉼표 2 3 3 3" xfId="303" xr:uid="{17BCB0E7-9B01-41CA-8987-7637A49DC696}"/>
    <cellStyle name="쉼표 2 3 3 3 2" xfId="495" xr:uid="{369994F0-9880-466A-8CB7-DB614F7021FF}"/>
    <cellStyle name="쉼표 2 3 3 4" xfId="399" xr:uid="{C48C099E-EC24-47E3-928B-889099B95E28}"/>
    <cellStyle name="쉼표 2 3 4" xfId="231" xr:uid="{DDD4BEF4-CDB6-4AF0-8069-EF10A222BEBB}"/>
    <cellStyle name="쉼표 2 3 4 2" xfId="327" xr:uid="{533180DC-0CE2-449C-8B99-550BB9F243DB}"/>
    <cellStyle name="쉼표 2 3 4 2 2" xfId="519" xr:uid="{0E0D681F-F8AE-4A66-A031-36C7390F71AA}"/>
    <cellStyle name="쉼표 2 3 4 3" xfId="423" xr:uid="{488E33DC-76BD-4CA3-87C2-86069B138D01}"/>
    <cellStyle name="쉼표 2 3 5" xfId="279" xr:uid="{1F8D6D23-39A9-4C43-969A-3A46482D653D}"/>
    <cellStyle name="쉼표 2 3 5 2" xfId="471" xr:uid="{CA90E97B-474E-4503-918B-476AE55F3E04}"/>
    <cellStyle name="쉼표 2 3 6" xfId="375" xr:uid="{2435B754-ADE8-4798-8975-EDF66D85C5EF}"/>
    <cellStyle name="쉼표 2 4" xfId="191" xr:uid="{701DA15D-DB54-43FA-A059-7421B43F33D3}"/>
    <cellStyle name="쉼표 2 4 2" xfId="215" xr:uid="{565485F2-08ED-428A-BC62-37B17C525725}"/>
    <cellStyle name="쉼표 2 4 2 2" xfId="263" xr:uid="{40EAFA53-DFDA-4FAF-B502-6FC54D46A74E}"/>
    <cellStyle name="쉼표 2 4 2 2 2" xfId="359" xr:uid="{DA1F6457-1FE4-421C-B807-B75DDB98DD77}"/>
    <cellStyle name="쉼표 2 4 2 2 2 2" xfId="551" xr:uid="{9C54E4E4-5F12-4FFB-A906-0CD7F658D641}"/>
    <cellStyle name="쉼표 2 4 2 2 3" xfId="455" xr:uid="{29EB8AD6-1F20-47DE-8C58-151782F5F9BE}"/>
    <cellStyle name="쉼표 2 4 2 3" xfId="311" xr:uid="{A7916212-2B5C-4717-A5C1-CB38C8E5D738}"/>
    <cellStyle name="쉼표 2 4 2 3 2" xfId="503" xr:uid="{1D124710-7325-4886-9312-94C4425BB18C}"/>
    <cellStyle name="쉼표 2 4 2 4" xfId="407" xr:uid="{6793CA92-AFDA-4EE2-9EEF-97F685D281BB}"/>
    <cellStyle name="쉼표 2 4 3" xfId="239" xr:uid="{CFE235E9-9BCB-453D-8BAE-C8CB97300478}"/>
    <cellStyle name="쉼표 2 4 3 2" xfId="335" xr:uid="{35B9C730-87BC-4EF4-9AB3-285B5376C160}"/>
    <cellStyle name="쉼표 2 4 3 2 2" xfId="527" xr:uid="{7CBEF38A-DAAE-4D28-AA15-2A010E97CFCC}"/>
    <cellStyle name="쉼표 2 4 3 3" xfId="431" xr:uid="{53407827-5903-49AB-BB04-C6DAF0188295}"/>
    <cellStyle name="쉼표 2 4 4" xfId="287" xr:uid="{4F1E3639-418E-455B-B112-BE36B3CFB7DF}"/>
    <cellStyle name="쉼표 2 4 4 2" xfId="479" xr:uid="{1BDD9CFF-B891-47CC-85F0-C089DABB4D22}"/>
    <cellStyle name="쉼표 2 4 5" xfId="383" xr:uid="{092B0694-DDEC-4141-B049-642D035F5E34}"/>
    <cellStyle name="쉼표 2 5" xfId="203" xr:uid="{A59A0DD7-55D8-4D1D-BAE7-12EC6B9F8ED5}"/>
    <cellStyle name="쉼표 2 5 2" xfId="251" xr:uid="{19ACD0F0-26F3-414D-ACCD-DF5B61149736}"/>
    <cellStyle name="쉼표 2 5 2 2" xfId="347" xr:uid="{B6CD2FCC-3430-4650-BEA7-7E4AD7CF44C5}"/>
    <cellStyle name="쉼표 2 5 2 2 2" xfId="539" xr:uid="{0047B1E2-C6C4-4C58-B005-A24120A8B846}"/>
    <cellStyle name="쉼표 2 5 2 3" xfId="443" xr:uid="{A881EA1D-972D-46DF-8C85-C1EF87ED1486}"/>
    <cellStyle name="쉼표 2 5 3" xfId="299" xr:uid="{8BE10F44-9F9C-47EF-8FDA-02EFFC358E75}"/>
    <cellStyle name="쉼표 2 5 3 2" xfId="491" xr:uid="{CFED2A30-1AD7-4DAA-838F-26135AB4008A}"/>
    <cellStyle name="쉼표 2 5 4" xfId="395" xr:uid="{827B84F5-CF8F-4CA1-9376-D183954FE74E}"/>
    <cellStyle name="쉼표 2 6" xfId="227" xr:uid="{1C328311-7076-4A7A-8027-562273DD141E}"/>
    <cellStyle name="쉼표 2 6 2" xfId="323" xr:uid="{FFF510D2-F918-41C7-8AE0-97CCB1941C15}"/>
    <cellStyle name="쉼표 2 6 2 2" xfId="515" xr:uid="{04512A37-C38F-455D-8426-F1F65CC67D36}"/>
    <cellStyle name="쉼표 2 6 3" xfId="419" xr:uid="{02702390-CD76-49AE-B6B5-4E2EEE7DB0F0}"/>
    <cellStyle name="쉼표 2 7" xfId="275" xr:uid="{21114949-54CD-41B0-B398-E3D079F8EB89}"/>
    <cellStyle name="쉼표 2 7 2" xfId="467" xr:uid="{7BF979B7-073E-4EA1-97E0-CFE2630FDAFD}"/>
    <cellStyle name="쉼표 2 8" xfId="371" xr:uid="{379E9622-989D-4AD2-AFD1-1382AC0B060E}"/>
    <cellStyle name="쉼표 3" xfId="176" xr:uid="{EADEBB91-A876-4CFD-B2E8-8EA778DC038B}"/>
    <cellStyle name="쉼표 3 2" xfId="181" xr:uid="{47C9EA6D-C927-4A50-8BBC-8EE0F166C2FE}"/>
    <cellStyle name="쉼표 3 2 2" xfId="185" xr:uid="{2F4A745E-B806-4C10-BFFB-9D8927916B55}"/>
    <cellStyle name="쉼표 3 2 2 2" xfId="198" xr:uid="{F5242A59-E04B-4010-8D94-6885CFA6EB1A}"/>
    <cellStyle name="쉼표 3 2 2 2 2" xfId="222" xr:uid="{B8E1AD1C-2A6E-452C-B9A1-9A35DC99D976}"/>
    <cellStyle name="쉼표 3 2 2 2 2 2" xfId="270" xr:uid="{ED87E84E-A734-4E43-BC40-841FAFA0879A}"/>
    <cellStyle name="쉼표 3 2 2 2 2 2 2" xfId="366" xr:uid="{DAD075AD-D76E-47EC-B3AC-107696FBC56A}"/>
    <cellStyle name="쉼표 3 2 2 2 2 2 2 2" xfId="558" xr:uid="{52A66535-12D4-46A3-8610-0DD76959A9E2}"/>
    <cellStyle name="쉼표 3 2 2 2 2 2 3" xfId="462" xr:uid="{AEF17A67-314D-4ED4-B864-E75B497BA4FD}"/>
    <cellStyle name="쉼표 3 2 2 2 2 3" xfId="318" xr:uid="{C1482920-D24F-476A-952D-4235587908EE}"/>
    <cellStyle name="쉼표 3 2 2 2 2 3 2" xfId="510" xr:uid="{B2442C7F-BF47-4E7C-822C-E9A69ED7DC4B}"/>
    <cellStyle name="쉼표 3 2 2 2 2 4" xfId="414" xr:uid="{182D6E69-6A3B-4AC5-9970-C5B6293E0753}"/>
    <cellStyle name="쉼표 3 2 2 2 3" xfId="246" xr:uid="{FE00DEFE-F56A-4C1E-88A6-030A1276820B}"/>
    <cellStyle name="쉼표 3 2 2 2 3 2" xfId="342" xr:uid="{A8652124-B970-435B-9DB3-18186DFF27D0}"/>
    <cellStyle name="쉼표 3 2 2 2 3 2 2" xfId="534" xr:uid="{7A6F4F69-F3B2-43FD-A0DA-F969FEA585A0}"/>
    <cellStyle name="쉼표 3 2 2 2 3 3" xfId="438" xr:uid="{2371DF52-A389-41F7-BF9C-78636AC91C6F}"/>
    <cellStyle name="쉼표 3 2 2 2 4" xfId="294" xr:uid="{B582D393-5707-406F-82D2-395D5FFD39C4}"/>
    <cellStyle name="쉼표 3 2 2 2 4 2" xfId="486" xr:uid="{6959CEA5-4A9F-4394-BCAD-01E85679ED0A}"/>
    <cellStyle name="쉼표 3 2 2 2 5" xfId="390" xr:uid="{E02EF69B-D381-47B0-9E5E-2615F1489DEF}"/>
    <cellStyle name="쉼표 3 2 2 3" xfId="210" xr:uid="{D9A51FA9-C98D-4114-9112-E49D77E1C317}"/>
    <cellStyle name="쉼표 3 2 2 3 2" xfId="258" xr:uid="{89C79FBB-99B9-48B7-B418-6C41DC75D7E1}"/>
    <cellStyle name="쉼표 3 2 2 3 2 2" xfId="354" xr:uid="{521C7017-B876-45BD-8C2D-A43FCF238A7E}"/>
    <cellStyle name="쉼표 3 2 2 3 2 2 2" xfId="546" xr:uid="{C9969231-442E-4D73-B496-C7CF72A5A257}"/>
    <cellStyle name="쉼표 3 2 2 3 2 3" xfId="450" xr:uid="{97E58CC7-6CEE-4688-8BE9-D896838299FE}"/>
    <cellStyle name="쉼표 3 2 2 3 3" xfId="306" xr:uid="{A0A11268-9016-40E6-B344-1EDE07F0B6C9}"/>
    <cellStyle name="쉼표 3 2 2 3 3 2" xfId="498" xr:uid="{41FD11A1-ED06-4BC2-B0F7-A0D6C3B09A77}"/>
    <cellStyle name="쉼표 3 2 2 3 4" xfId="402" xr:uid="{6DC2946D-7FBF-4E97-BD69-8F6C7B781400}"/>
    <cellStyle name="쉼표 3 2 2 4" xfId="234" xr:uid="{E7E60DDF-2B84-4C8B-8684-6F5C0452A406}"/>
    <cellStyle name="쉼표 3 2 2 4 2" xfId="330" xr:uid="{01C334BC-1A73-40C7-B606-ADF25CF25C15}"/>
    <cellStyle name="쉼표 3 2 2 4 2 2" xfId="522" xr:uid="{B18607B6-FA83-4671-B37D-3878AF04A6F4}"/>
    <cellStyle name="쉼표 3 2 2 4 3" xfId="426" xr:uid="{17F8DC87-1621-4E60-A7E9-FA31DD7B66C8}"/>
    <cellStyle name="쉼표 3 2 2 5" xfId="282" xr:uid="{7D22A034-05FA-494A-8E86-6A545354A6C8}"/>
    <cellStyle name="쉼표 3 2 2 5 2" xfId="474" xr:uid="{99C676F7-E2F4-479F-822A-277917198153}"/>
    <cellStyle name="쉼표 3 2 2 6" xfId="378" xr:uid="{8634DB39-BEE7-4E2F-A3D7-CC05AD464D76}"/>
    <cellStyle name="쉼표 3 2 3" xfId="194" xr:uid="{54F8F5F4-B4F7-4576-B3B3-2791C8EFA1F1}"/>
    <cellStyle name="쉼표 3 2 3 2" xfId="218" xr:uid="{C3B297A2-8015-4F9D-A8D1-F385139457D8}"/>
    <cellStyle name="쉼표 3 2 3 2 2" xfId="266" xr:uid="{AF6A69F3-B6E3-4B58-8BC4-49AFEADDF31B}"/>
    <cellStyle name="쉼표 3 2 3 2 2 2" xfId="362" xr:uid="{02D9E22E-030C-464E-BC2D-7F2B4544159D}"/>
    <cellStyle name="쉼표 3 2 3 2 2 2 2" xfId="554" xr:uid="{62B297B5-1B20-4A4D-B87B-AAE01A57E78D}"/>
    <cellStyle name="쉼표 3 2 3 2 2 3" xfId="458" xr:uid="{2E8BFC02-D435-4D47-A89C-91B8DF5C5AAD}"/>
    <cellStyle name="쉼표 3 2 3 2 3" xfId="314" xr:uid="{438F717F-FBD4-4018-A6F1-C842118F6E5C}"/>
    <cellStyle name="쉼표 3 2 3 2 3 2" xfId="506" xr:uid="{0F1BF5A5-8AE7-4EFA-9EDE-FA74C3D87659}"/>
    <cellStyle name="쉼표 3 2 3 2 4" xfId="410" xr:uid="{D0EABF83-D861-4127-BBE1-BBC5C4A6F9A5}"/>
    <cellStyle name="쉼표 3 2 3 3" xfId="242" xr:uid="{0FA720E2-F48D-4250-9813-8AA887B89D26}"/>
    <cellStyle name="쉼표 3 2 3 3 2" xfId="338" xr:uid="{A0E545B2-1DC7-44B4-BBD4-9E77132A8B17}"/>
    <cellStyle name="쉼표 3 2 3 3 2 2" xfId="530" xr:uid="{22F48AE1-2A65-4EA8-9AFC-6D74214297D7}"/>
    <cellStyle name="쉼표 3 2 3 3 3" xfId="434" xr:uid="{68992E5F-058B-4C2D-A308-A0ED458819D5}"/>
    <cellStyle name="쉼표 3 2 3 4" xfId="290" xr:uid="{60D7FB58-91BB-472A-AB4F-BEACDFED77F6}"/>
    <cellStyle name="쉼표 3 2 3 4 2" xfId="482" xr:uid="{935DC32C-6F69-4868-A90B-212FFAF0E008}"/>
    <cellStyle name="쉼표 3 2 3 5" xfId="386" xr:uid="{2972D180-9915-42E5-A6EB-E10D828B760B}"/>
    <cellStyle name="쉼표 3 2 4" xfId="206" xr:uid="{BF958A4C-CBCE-4F83-BD2E-A513468C8D88}"/>
    <cellStyle name="쉼표 3 2 4 2" xfId="254" xr:uid="{F3784BE7-5758-437A-82B1-F5749469504A}"/>
    <cellStyle name="쉼표 3 2 4 2 2" xfId="350" xr:uid="{772996AC-1E12-46BB-B9BB-837CA62BC80D}"/>
    <cellStyle name="쉼표 3 2 4 2 2 2" xfId="542" xr:uid="{A4A45BAE-32CC-4E26-8A8D-6353412A92A1}"/>
    <cellStyle name="쉼표 3 2 4 2 3" xfId="446" xr:uid="{DCABC984-58AF-4177-86E9-5F1A47B5F45E}"/>
    <cellStyle name="쉼표 3 2 4 3" xfId="302" xr:uid="{B757BAE0-203A-49A6-B85E-35C6CD58846A}"/>
    <cellStyle name="쉼표 3 2 4 3 2" xfId="494" xr:uid="{E128A7D1-53AB-43D1-AE24-7B597DAD3A1B}"/>
    <cellStyle name="쉼표 3 2 4 4" xfId="398" xr:uid="{0C0305E2-08DA-4B03-9E72-A54DE82A1521}"/>
    <cellStyle name="쉼표 3 2 5" xfId="230" xr:uid="{EE2222A3-EBEB-4114-A64B-08EBBA4DF2AA}"/>
    <cellStyle name="쉼표 3 2 5 2" xfId="326" xr:uid="{086160B3-A292-4F72-A9D7-FCEDDAC2EFFF}"/>
    <cellStyle name="쉼표 3 2 5 2 2" xfId="518" xr:uid="{6432B1FE-2157-45EE-8635-E9EEAB2CD6EA}"/>
    <cellStyle name="쉼표 3 2 5 3" xfId="422" xr:uid="{CB24E553-E6BE-4897-9475-9A56E14B3507}"/>
    <cellStyle name="쉼표 3 2 6" xfId="278" xr:uid="{FE86E25A-BA70-4FC2-B139-F11753171140}"/>
    <cellStyle name="쉼표 3 2 6 2" xfId="470" xr:uid="{41180D8F-962E-469F-9C34-FC0961AE264F}"/>
    <cellStyle name="쉼표 3 2 7" xfId="374" xr:uid="{DA6F6BF7-CA81-4AFD-B597-D1AA88565356}"/>
    <cellStyle name="쉼표 3 3" xfId="183" xr:uid="{ADF6981B-BFCF-46CC-8A9C-9C7CAF74D2C7}"/>
    <cellStyle name="쉼표 3 3 2" xfId="196" xr:uid="{E2E6858A-2E92-4CDF-9FDF-8E5EC669363B}"/>
    <cellStyle name="쉼표 3 3 2 2" xfId="220" xr:uid="{406C10EE-F994-4131-BB52-6B356A22026A}"/>
    <cellStyle name="쉼표 3 3 2 2 2" xfId="268" xr:uid="{F3D0D317-99AD-4F90-9EBB-F8956CCF2671}"/>
    <cellStyle name="쉼표 3 3 2 2 2 2" xfId="364" xr:uid="{D57ACD7B-182B-46DC-AA7D-08E6E402AE86}"/>
    <cellStyle name="쉼표 3 3 2 2 2 2 2" xfId="556" xr:uid="{DDD60F15-54E3-4A39-8E3B-8B0BFBBE6055}"/>
    <cellStyle name="쉼표 3 3 2 2 2 3" xfId="460" xr:uid="{94F6CC7B-89EE-45D5-B83B-8895379588A7}"/>
    <cellStyle name="쉼표 3 3 2 2 3" xfId="316" xr:uid="{2A6B9959-625A-4C68-ACBE-CE106D04457D}"/>
    <cellStyle name="쉼표 3 3 2 2 3 2" xfId="508" xr:uid="{8F2A5890-B24C-4D16-AA5F-E3084784FC5B}"/>
    <cellStyle name="쉼표 3 3 2 2 4" xfId="412" xr:uid="{39B55FB9-1340-4771-ADFF-059BC4D2F78C}"/>
    <cellStyle name="쉼표 3 3 2 3" xfId="244" xr:uid="{15E7F60D-EEDD-4957-A7A2-68B1D463B769}"/>
    <cellStyle name="쉼표 3 3 2 3 2" xfId="340" xr:uid="{E80B2206-C60D-4C75-AC99-2E08196F796F}"/>
    <cellStyle name="쉼표 3 3 2 3 2 2" xfId="532" xr:uid="{4FC48F58-5777-4BF0-9F8E-137EF249B7CF}"/>
    <cellStyle name="쉼표 3 3 2 3 3" xfId="436" xr:uid="{058FB6BC-535F-4560-B3BA-BF823BB682DB}"/>
    <cellStyle name="쉼표 3 3 2 4" xfId="292" xr:uid="{AA03FE90-64B3-45C5-B8F0-D0FA3B136C8F}"/>
    <cellStyle name="쉼표 3 3 2 4 2" xfId="484" xr:uid="{AC1CD284-721D-4A4A-A04E-6BDEB4F1CA47}"/>
    <cellStyle name="쉼표 3 3 2 5" xfId="388" xr:uid="{63AD2F13-042A-4723-AB8E-DF9029AE7021}"/>
    <cellStyle name="쉼표 3 3 3" xfId="208" xr:uid="{8A0FA198-A96F-4A7F-97AA-3B34FF4F2155}"/>
    <cellStyle name="쉼표 3 3 3 2" xfId="256" xr:uid="{2B5A31FB-58AB-4215-8611-C527A2DB1398}"/>
    <cellStyle name="쉼표 3 3 3 2 2" xfId="352" xr:uid="{DD57C71D-76E5-4270-B870-CD125FBC01F2}"/>
    <cellStyle name="쉼표 3 3 3 2 2 2" xfId="544" xr:uid="{C71A4A8C-483D-4F3D-A003-981B940AFBF2}"/>
    <cellStyle name="쉼표 3 3 3 2 3" xfId="448" xr:uid="{361F7F05-E2BA-4C87-A6F4-5B77FDEEBD6A}"/>
    <cellStyle name="쉼표 3 3 3 3" xfId="304" xr:uid="{4F3DCCAF-2737-4BBC-AB38-2BF0D9F75F4E}"/>
    <cellStyle name="쉼표 3 3 3 3 2" xfId="496" xr:uid="{44362F19-1460-4021-B2CE-D26029586BE5}"/>
    <cellStyle name="쉼표 3 3 3 4" xfId="400" xr:uid="{9250E66D-6203-4891-9EC2-D2C80F5D9AA4}"/>
    <cellStyle name="쉼표 3 3 4" xfId="232" xr:uid="{1CE28FAA-60CA-4851-84C2-0DBE150F9D3B}"/>
    <cellStyle name="쉼표 3 3 4 2" xfId="328" xr:uid="{90B0F13C-CC43-4330-80D1-0445BFEC9ACF}"/>
    <cellStyle name="쉼표 3 3 4 2 2" xfId="520" xr:uid="{E17E5A13-9EE4-4A7A-887E-99C6B6C0C064}"/>
    <cellStyle name="쉼표 3 3 4 3" xfId="424" xr:uid="{43BACF45-804C-4676-B2D1-4BD9D69CA4EA}"/>
    <cellStyle name="쉼표 3 3 5" xfId="280" xr:uid="{C1CC27A7-2727-4B4C-8CFD-AD2A34FCF73E}"/>
    <cellStyle name="쉼표 3 3 5 2" xfId="472" xr:uid="{245E176D-B0E5-408E-B529-2E016CA3E7D0}"/>
    <cellStyle name="쉼표 3 3 6" xfId="376" xr:uid="{F487D0C8-24CA-4522-9A78-7A0F1D2679D6}"/>
    <cellStyle name="쉼표 3 4" xfId="192" xr:uid="{F828BA3C-3F38-4F64-B0BF-DD9C956FBD5C}"/>
    <cellStyle name="쉼표 3 4 2" xfId="216" xr:uid="{D5D53043-CB75-437F-A599-24FA197BC2A3}"/>
    <cellStyle name="쉼표 3 4 2 2" xfId="264" xr:uid="{E15FBA64-45AF-45B0-BBE3-B456D46B4732}"/>
    <cellStyle name="쉼표 3 4 2 2 2" xfId="360" xr:uid="{FFEC17F6-63B1-4EC0-AE8B-41A16ED2E712}"/>
    <cellStyle name="쉼표 3 4 2 2 2 2" xfId="552" xr:uid="{67470A52-8D2E-4CCC-A8DB-EC5809AB88BE}"/>
    <cellStyle name="쉼표 3 4 2 2 3" xfId="456" xr:uid="{39BF4CBF-3F78-42BD-8CF9-4F031489CD77}"/>
    <cellStyle name="쉼표 3 4 2 3" xfId="312" xr:uid="{AD6D75D7-CE02-4523-9F61-1C98F86C41AF}"/>
    <cellStyle name="쉼표 3 4 2 3 2" xfId="504" xr:uid="{356B28DB-E9D8-479D-92EB-4B7649C031C6}"/>
    <cellStyle name="쉼표 3 4 2 4" xfId="408" xr:uid="{5EEB6EF7-CD07-4FC8-99FC-F8C17E540436}"/>
    <cellStyle name="쉼표 3 4 3" xfId="240" xr:uid="{E2976A59-1197-4805-963B-B1F6B923CFA6}"/>
    <cellStyle name="쉼표 3 4 3 2" xfId="336" xr:uid="{3A286DC6-AB63-46D4-A412-3880F3901294}"/>
    <cellStyle name="쉼표 3 4 3 2 2" xfId="528" xr:uid="{0E7B74CC-C9CD-4072-A145-2581D5D7A1BC}"/>
    <cellStyle name="쉼표 3 4 3 3" xfId="432" xr:uid="{C5E98733-C497-4061-9AA2-9B44BD2F8651}"/>
    <cellStyle name="쉼표 3 4 4" xfId="288" xr:uid="{6277A7FD-E821-4BDA-BD59-D521C17DFC82}"/>
    <cellStyle name="쉼표 3 4 4 2" xfId="480" xr:uid="{97F8B828-916F-4741-A6C9-6A07D5A43F9B}"/>
    <cellStyle name="쉼표 3 4 5" xfId="384" xr:uid="{6B899C47-4D8D-48C0-8927-3C441DBD44A1}"/>
    <cellStyle name="쉼표 3 5" xfId="204" xr:uid="{7E0050AC-8E34-48E7-A9C7-C3DE2E211FBA}"/>
    <cellStyle name="쉼표 3 5 2" xfId="252" xr:uid="{5C517D64-BAFA-4307-9D73-0593FBA9F881}"/>
    <cellStyle name="쉼표 3 5 2 2" xfId="348" xr:uid="{D28A4DF8-8358-4E34-A6CB-3C23EAA34E5C}"/>
    <cellStyle name="쉼표 3 5 2 2 2" xfId="540" xr:uid="{0260B28C-4D5C-4A45-A796-5601381516EE}"/>
    <cellStyle name="쉼표 3 5 2 3" xfId="444" xr:uid="{7E3FF67D-1128-482F-BD84-9012D03FB1DD}"/>
    <cellStyle name="쉼표 3 5 3" xfId="300" xr:uid="{0A7E0DB7-E35A-4525-81DC-276B890AEA20}"/>
    <cellStyle name="쉼표 3 5 3 2" xfId="492" xr:uid="{874110FC-73BC-4E95-BAE5-C198FBC6575A}"/>
    <cellStyle name="쉼표 3 5 4" xfId="396" xr:uid="{83909A2D-D1F0-4A59-AAB2-C3EDA4C747EB}"/>
    <cellStyle name="쉼표 3 6" xfId="228" xr:uid="{C3BEC567-9F50-4A35-B086-9C9704EC22BA}"/>
    <cellStyle name="쉼표 3 6 2" xfId="324" xr:uid="{21F82E52-BAC9-47A7-8B9B-2FE5D28C3E2A}"/>
    <cellStyle name="쉼표 3 6 2 2" xfId="516" xr:uid="{B7A2FCA1-F733-4250-9F8B-F7E57520D9B5}"/>
    <cellStyle name="쉼표 3 6 3" xfId="420" xr:uid="{272FD3C0-F3AB-4E14-A274-C982D05511C1}"/>
    <cellStyle name="쉼표 3 7" xfId="276" xr:uid="{31553295-8868-4B41-AFD9-41CD9F32A789}"/>
    <cellStyle name="쉼표 3 7 2" xfId="468" xr:uid="{53E39942-9B02-4E3E-8FA9-5F530FD6FDF4}"/>
    <cellStyle name="쉼표 3 8" xfId="372" xr:uid="{A50D5E96-F2DC-4D5B-99E8-76708A10A739}"/>
    <cellStyle name="千位分隔 2" xfId="187" xr:uid="{DE004B16-903C-47F6-A3D0-F48BBC500954}"/>
    <cellStyle name="千位分隔 2 2" xfId="199" xr:uid="{2C14F315-7FDE-49CE-B453-6B17E6643D24}"/>
    <cellStyle name="千位分隔 2 2 2" xfId="223" xr:uid="{64C05D31-3C91-4BD0-9C0B-79C2590F3DA8}"/>
    <cellStyle name="千位分隔 2 2 2 2" xfId="271" xr:uid="{0C32EF74-80C8-4907-B5A4-A67807B669FB}"/>
    <cellStyle name="千位分隔 2 2 2 2 2" xfId="367" xr:uid="{93C9A9C2-C10F-4984-8B21-114257C17211}"/>
    <cellStyle name="千位分隔 2 2 2 2 2 2" xfId="559" xr:uid="{0C2AEC45-CC80-4564-A1E9-267C2038F8EA}"/>
    <cellStyle name="千位分隔 2 2 2 2 3" xfId="463" xr:uid="{9C8617D5-A9A8-4982-91DB-6C75FE54E413}"/>
    <cellStyle name="千位分隔 2 2 2 3" xfId="319" xr:uid="{3EC73E80-7B37-4FCC-B391-DF07FD9323DE}"/>
    <cellStyle name="千位分隔 2 2 2 3 2" xfId="511" xr:uid="{E6840A5C-E0F2-46F5-A0E5-5823AC960548}"/>
    <cellStyle name="千位分隔 2 2 2 4" xfId="415" xr:uid="{18799283-30EB-4BFC-BA59-2ED86B0C9040}"/>
    <cellStyle name="千位分隔 2 2 3" xfId="247" xr:uid="{7E24B7FB-814A-431C-8DC5-3BE44A0CA02E}"/>
    <cellStyle name="千位分隔 2 2 3 2" xfId="343" xr:uid="{550342F2-829C-4812-9C03-2FB8352D19FD}"/>
    <cellStyle name="千位分隔 2 2 3 2 2" xfId="535" xr:uid="{CC25F48F-F9E1-4AD1-94B3-FF23D42D7A5B}"/>
    <cellStyle name="千位分隔 2 2 3 3" xfId="439" xr:uid="{8BF067E3-3924-46C4-AE0E-147A64F3FFF2}"/>
    <cellStyle name="千位分隔 2 2 4" xfId="295" xr:uid="{57FA3B70-9008-4DBE-8844-820B6C571941}"/>
    <cellStyle name="千位分隔 2 2 4 2" xfId="487" xr:uid="{C9ACF88A-52F6-4901-BE16-0B827F398989}"/>
    <cellStyle name="千位分隔 2 2 5" xfId="391" xr:uid="{F2BE26A9-99EC-49E1-B72E-AF5D8045C657}"/>
    <cellStyle name="千位分隔 2 3" xfId="211" xr:uid="{D47937E2-7D7B-44B8-8760-5118A51A6DDA}"/>
    <cellStyle name="千位分隔 2 3 2" xfId="259" xr:uid="{243BCFEA-4C5F-4AB6-8F47-7C5BFAB575BC}"/>
    <cellStyle name="千位分隔 2 3 2 2" xfId="355" xr:uid="{B4884484-C1CF-42F4-94C5-28D47371288B}"/>
    <cellStyle name="千位分隔 2 3 2 2 2" xfId="547" xr:uid="{B1E01350-99E0-45CB-8571-412EF52F7076}"/>
    <cellStyle name="千位分隔 2 3 2 3" xfId="451" xr:uid="{08DCEA30-C2BA-40C7-9DD0-CE846CEE3946}"/>
    <cellStyle name="千位分隔 2 3 3" xfId="307" xr:uid="{6EB3162E-79E0-47E2-86D0-33E438FD5EC9}"/>
    <cellStyle name="千位分隔 2 3 3 2" xfId="499" xr:uid="{ED3583BF-6C3B-4196-BE32-9C97B9DB4182}"/>
    <cellStyle name="千位分隔 2 3 4" xfId="403" xr:uid="{6B748A3B-97D0-43D3-90C5-A5EE54266136}"/>
    <cellStyle name="千位分隔 2 4" xfId="235" xr:uid="{F73C99CE-D228-4F10-B9F6-589A1756226D}"/>
    <cellStyle name="千位分隔 2 4 2" xfId="331" xr:uid="{0E9F4A98-CE5D-499E-868E-42B68A79C542}"/>
    <cellStyle name="千位分隔 2 4 2 2" xfId="523" xr:uid="{AD68A09C-8121-4D7C-9AE5-06E0C9A4A073}"/>
    <cellStyle name="千位分隔 2 4 3" xfId="427" xr:uid="{5442697A-5BE5-41B4-BE49-B084FB235DE4}"/>
    <cellStyle name="千位分隔 2 5" xfId="283" xr:uid="{EBA2E895-17D1-43CE-904E-76B22F966394}"/>
    <cellStyle name="千位分隔 2 5 2" xfId="475" xr:uid="{DC83FFFB-6207-4A28-BFBB-C039D7F474E9}"/>
    <cellStyle name="千位分隔 2 6" xfId="379" xr:uid="{51717056-8B3B-47D4-8011-961863FC94ED}"/>
    <cellStyle name="千位分隔[0] 2" xfId="178" xr:uid="{BE493978-80CD-4E86-B796-0102AB5D480A}"/>
    <cellStyle name="千位分隔[0] 3" xfId="188" xr:uid="{8046E65D-4FCE-4591-BCA7-A42F07B6F1B7}"/>
    <cellStyle name="千位分隔[0] 3 2" xfId="200" xr:uid="{DD2C9033-E2FE-4AAF-B540-B8EBF1FBB4DF}"/>
    <cellStyle name="千位分隔[0] 3 2 2" xfId="224" xr:uid="{A2ED09B1-F158-4778-9955-E9A2F28362AC}"/>
    <cellStyle name="千位分隔[0] 3 2 2 2" xfId="272" xr:uid="{E1DA7CB5-4E07-4934-8E55-B9DABF1B26E8}"/>
    <cellStyle name="千位分隔[0] 3 2 2 2 2" xfId="368" xr:uid="{3558FA81-9FB8-4030-9699-A93AE310F40C}"/>
    <cellStyle name="千位分隔[0] 3 2 2 2 2 2" xfId="560" xr:uid="{46BC1032-ED80-4966-9C60-9D2C4D6663B2}"/>
    <cellStyle name="千位分隔[0] 3 2 2 2 3" xfId="464" xr:uid="{A1A0A85D-DA66-420D-BC32-817EECFCF287}"/>
    <cellStyle name="千位分隔[0] 3 2 2 3" xfId="320" xr:uid="{C4771974-C024-4578-8B62-E3F512D93822}"/>
    <cellStyle name="千位分隔[0] 3 2 2 3 2" xfId="512" xr:uid="{A7D0A885-5208-4D96-A252-4566EED3221F}"/>
    <cellStyle name="千位分隔[0] 3 2 2 4" xfId="416" xr:uid="{C0FE920C-5BC4-45AF-A1F2-22B4B68AE7DF}"/>
    <cellStyle name="千位分隔[0] 3 2 3" xfId="248" xr:uid="{838CE669-EEC4-46AB-8071-EDE9BE200A44}"/>
    <cellStyle name="千位分隔[0] 3 2 3 2" xfId="344" xr:uid="{B4066091-8477-47E2-A570-962E5143DBA2}"/>
    <cellStyle name="千位分隔[0] 3 2 3 2 2" xfId="536" xr:uid="{95A5BE77-501F-4E7B-A4F3-40CEF712D060}"/>
    <cellStyle name="千位分隔[0] 3 2 3 3" xfId="440" xr:uid="{2397C8CB-2675-4794-AE8A-E32194FB62E3}"/>
    <cellStyle name="千位分隔[0] 3 2 4" xfId="296" xr:uid="{732A3E73-3707-47DF-ACBA-3329613D6944}"/>
    <cellStyle name="千位分隔[0] 3 2 4 2" xfId="488" xr:uid="{DC222CFB-37DB-4225-98D5-F18A1437C568}"/>
    <cellStyle name="千位分隔[0] 3 2 5" xfId="392" xr:uid="{6E7E46A9-229C-4EC5-882B-68AD9DDDDA5F}"/>
    <cellStyle name="千位分隔[0] 3 3" xfId="212" xr:uid="{7F95B901-064A-4E30-BD59-85CB241A435D}"/>
    <cellStyle name="千位分隔[0] 3 3 2" xfId="260" xr:uid="{3FB78084-155E-46F2-BA85-C4C3C3C7E3E1}"/>
    <cellStyle name="千位分隔[0] 3 3 2 2" xfId="356" xr:uid="{ADB88941-9C85-425E-BD79-FCF1E8471FDA}"/>
    <cellStyle name="千位分隔[0] 3 3 2 2 2" xfId="548" xr:uid="{B1F8EFE6-44A3-4580-8A0B-6DF33AF4689B}"/>
    <cellStyle name="千位分隔[0] 3 3 2 3" xfId="452" xr:uid="{5C4A0AEF-75D5-4B72-911B-ACD7B65755E4}"/>
    <cellStyle name="千位分隔[0] 3 3 3" xfId="308" xr:uid="{1C67B916-E504-4092-8AA8-9877DDBD280B}"/>
    <cellStyle name="千位分隔[0] 3 3 3 2" xfId="500" xr:uid="{909477E3-07F8-441C-A2D1-3540C74C2BCF}"/>
    <cellStyle name="千位分隔[0] 3 3 4" xfId="404" xr:uid="{295F37DA-76E2-4751-A91C-B9E92C54B308}"/>
    <cellStyle name="千位分隔[0] 3 4" xfId="236" xr:uid="{4DC7636A-5E56-4D55-B892-8D653947AC33}"/>
    <cellStyle name="千位分隔[0] 3 4 2" xfId="332" xr:uid="{8AA7F98E-2C80-4783-9F2D-B82E0B04CA63}"/>
    <cellStyle name="千位分隔[0] 3 4 2 2" xfId="524" xr:uid="{FBFECAA3-BB49-4F9A-AE00-7451EC08146A}"/>
    <cellStyle name="千位分隔[0] 3 4 3" xfId="428" xr:uid="{3E9F8F9F-AA1C-4CCF-B061-50CD10F7B90B}"/>
    <cellStyle name="千位分隔[0] 3 5" xfId="284" xr:uid="{AE7D5798-75A8-4080-B0AD-39A58259E6B3}"/>
    <cellStyle name="千位分隔[0] 3 5 2" xfId="476" xr:uid="{1D9F19C9-8B18-4536-B773-0DD91AF0E3A1}"/>
    <cellStyle name="千位分隔[0] 3 6" xfId="380" xr:uid="{0FE0E308-6E04-43BC-809F-2F84C3F147EF}"/>
    <cellStyle name="표준" xfId="0" builtinId="0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40" xr:uid="{2F4A223A-AC4A-4C92-A02F-1BB409D207B7}"/>
    <cellStyle name="표준 8" xfId="137" xr:uid="{94665812-20E5-4FFA-88EB-39D1EFC2C0C7}"/>
    <cellStyle name="표준 8 2" xfId="179" xr:uid="{BA2B6CF5-34F2-44E9-BBBA-BC6D96250E5D}"/>
    <cellStyle name="표준 9" xfId="139" xr:uid="{62DB51C5-5D0F-49C3-A274-FD09A488B171}"/>
    <cellStyle name="표준_2010 대만전도금_100208" xfId="2" xr:uid="{00000000-0005-0000-0000-000085000000}"/>
    <cellStyle name="표준_2010 대만전도금_100208 2" xfId="138" xr:uid="{DC51D4E4-DCE4-4AC2-81A4-F5CF05B25866}"/>
  </cellStyles>
  <dxfs count="20"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tableStyles count="0" defaultTableStyle="TableStyleMedium2" defaultPivotStyle="PivotStyleLight16"/>
  <colors>
    <mruColors>
      <color rgb="FFFFFF99"/>
      <color rgb="FFF8DA90"/>
      <color rgb="FFFE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1</xdr:row>
          <xdr:rowOff>0</xdr:rowOff>
        </xdr:from>
        <xdr:to>
          <xdr:col>14</xdr:col>
          <xdr:colOff>142875</xdr:colOff>
          <xdr:row>14</xdr:row>
          <xdr:rowOff>0</xdr:rowOff>
        </xdr:to>
        <xdr:sp macro="" textlink="">
          <xdr:nvSpPr>
            <xdr:cNvPr id="135177" name="Object 9" hidden="1">
              <a:extLst>
                <a:ext uri="{63B3BB69-23CF-44E3-9099-C40C66FF867C}">
                  <a14:compatExt spid="_x0000_s135177"/>
                </a:ext>
                <a:ext uri="{FF2B5EF4-FFF2-40B4-BE49-F238E27FC236}">
                  <a16:creationId xmlns:a16="http://schemas.microsoft.com/office/drawing/2014/main" id="{00000000-0008-0000-2B00-000009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158750</xdr:rowOff>
    </xdr:from>
    <xdr:to>
      <xdr:col>10</xdr:col>
      <xdr:colOff>603249</xdr:colOff>
      <xdr:row>83</xdr:row>
      <xdr:rowOff>36703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31BC21F-D8A7-D3D0-DACD-965DA7607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0"/>
          <a:ext cx="9405937" cy="773607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0</xdr:row>
      <xdr:rowOff>0</xdr:rowOff>
    </xdr:from>
    <xdr:to>
      <xdr:col>9</xdr:col>
      <xdr:colOff>127000</xdr:colOff>
      <xdr:row>36</xdr:row>
      <xdr:rowOff>165491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E595921-E70B-A395-61F2-D5B0EC3E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0"/>
          <a:ext cx="8159749" cy="6586929"/>
        </a:xfrm>
        <a:prstGeom prst="rect">
          <a:avLst/>
        </a:prstGeom>
      </xdr:spPr>
    </xdr:pic>
    <xdr:clientData/>
  </xdr:twoCellAnchor>
  <xdr:oneCellAnchor>
    <xdr:from>
      <xdr:col>12</xdr:col>
      <xdr:colOff>371515</xdr:colOff>
      <xdr:row>66</xdr:row>
      <xdr:rowOff>3669</xdr:rowOff>
    </xdr:from>
    <xdr:ext cx="7263148" cy="8509715"/>
    <xdr:pic>
      <xdr:nvPicPr>
        <xdr:cNvPr id="4" name="그림 3">
          <a:extLst>
            <a:ext uri="{FF2B5EF4-FFF2-40B4-BE49-F238E27FC236}">
              <a16:creationId xmlns:a16="http://schemas.microsoft.com/office/drawing/2014/main" id="{02F3BE6D-317E-4A99-A9C7-0F2002EA6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115" y="13833969"/>
          <a:ext cx="7263148" cy="8509715"/>
        </a:xfrm>
        <a:prstGeom prst="rect">
          <a:avLst/>
        </a:prstGeom>
      </xdr:spPr>
    </xdr:pic>
    <xdr:clientData/>
  </xdr:oneCellAnchor>
  <xdr:oneCellAnchor>
    <xdr:from>
      <xdr:col>22</xdr:col>
      <xdr:colOff>8657</xdr:colOff>
      <xdr:row>97</xdr:row>
      <xdr:rowOff>161636</xdr:rowOff>
    </xdr:from>
    <xdr:ext cx="2493819" cy="3463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2F4DB2-5CE7-4D8E-A5E5-DAC3BCD74FBD}"/>
            </a:ext>
          </a:extLst>
        </xdr:cNvPr>
        <xdr:cNvSpPr txBox="1"/>
      </xdr:nvSpPr>
      <xdr:spPr>
        <a:xfrm>
          <a:off x="15096257" y="20487986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웬이하 계좌이체시 수수료</a:t>
          </a:r>
        </a:p>
      </xdr:txBody>
    </xdr:sp>
    <xdr:clientData/>
  </xdr:oneCellAnchor>
  <xdr:oneCellAnchor>
    <xdr:from>
      <xdr:col>22</xdr:col>
      <xdr:colOff>28863</xdr:colOff>
      <xdr:row>99</xdr:row>
      <xdr:rowOff>138544</xdr:rowOff>
    </xdr:from>
    <xdr:ext cx="2493819" cy="3463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35734-66D7-4E14-B850-B396B49E1289}"/>
            </a:ext>
          </a:extLst>
        </xdr:cNvPr>
        <xdr:cNvSpPr txBox="1"/>
      </xdr:nvSpPr>
      <xdr:spPr>
        <a:xfrm>
          <a:off x="15116463" y="20883994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</a:t>
          </a:r>
          <a:r>
            <a:rPr lang="en-US" altLang="ko-KR" sz="1000" b="1">
              <a:solidFill>
                <a:srgbClr val="FF0000"/>
              </a:solidFill>
            </a:rPr>
            <a:t>~100000</a:t>
          </a:r>
          <a:r>
            <a:rPr lang="ko-KR" altLang="en-US" sz="1000" b="1">
              <a:solidFill>
                <a:srgbClr val="FF0000"/>
              </a:solidFill>
            </a:rPr>
            <a:t>웬 계좌이체시 수수료</a:t>
          </a:r>
        </a:p>
      </xdr:txBody>
    </xdr:sp>
    <xdr:clientData/>
  </xdr:oneCellAnchor>
  <xdr:oneCellAnchor>
    <xdr:from>
      <xdr:col>6</xdr:col>
      <xdr:colOff>1594567</xdr:colOff>
      <xdr:row>1</xdr:row>
      <xdr:rowOff>161326</xdr:rowOff>
    </xdr:from>
    <xdr:ext cx="2022990" cy="8143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BC7BFE-A14F-45D1-804E-82133C2B116A}"/>
            </a:ext>
          </a:extLst>
        </xdr:cNvPr>
        <xdr:cNvSpPr txBox="1"/>
      </xdr:nvSpPr>
      <xdr:spPr>
        <a:xfrm>
          <a:off x="5608674" y="447076"/>
          <a:ext cx="2022990" cy="814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3600" b="1">
              <a:solidFill>
                <a:schemeClr val="accent6">
                  <a:lumMod val="75000"/>
                </a:schemeClr>
              </a:solidFill>
            </a:rPr>
            <a:t>USD </a:t>
          </a:r>
          <a:r>
            <a:rPr lang="ko-KR" altLang="en-US" sz="3600" b="1">
              <a:solidFill>
                <a:schemeClr val="accent6">
                  <a:lumMod val="75000"/>
                </a:schemeClr>
              </a:solidFill>
            </a:rPr>
            <a:t>내역</a:t>
          </a:r>
        </a:p>
      </xdr:txBody>
    </xdr:sp>
    <xdr:clientData/>
  </xdr:oneCellAnchor>
  <xdr:oneCellAnchor>
    <xdr:from>
      <xdr:col>1</xdr:col>
      <xdr:colOff>606626</xdr:colOff>
      <xdr:row>13</xdr:row>
      <xdr:rowOff>37356</xdr:rowOff>
    </xdr:from>
    <xdr:ext cx="1387929" cy="389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7356C7F-AA5A-4D3A-90E6-B83260F02F7B}"/>
            </a:ext>
          </a:extLst>
        </xdr:cNvPr>
        <xdr:cNvSpPr txBox="1"/>
      </xdr:nvSpPr>
      <xdr:spPr>
        <a:xfrm>
          <a:off x="1495626" y="2418606"/>
          <a:ext cx="1387929" cy="389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입금 금액</a:t>
          </a:r>
        </a:p>
      </xdr:txBody>
    </xdr:sp>
    <xdr:clientData/>
  </xdr:oneCellAnchor>
  <xdr:oneCellAnchor>
    <xdr:from>
      <xdr:col>6</xdr:col>
      <xdr:colOff>1398583</xdr:colOff>
      <xdr:row>16</xdr:row>
      <xdr:rowOff>47618</xdr:rowOff>
    </xdr:from>
    <xdr:ext cx="1387929" cy="3651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770AD6-E5FD-4F94-B8F9-E4D36B13E864}"/>
            </a:ext>
          </a:extLst>
        </xdr:cNvPr>
        <xdr:cNvSpPr txBox="1"/>
      </xdr:nvSpPr>
      <xdr:spPr>
        <a:xfrm>
          <a:off x="5422896" y="2952743"/>
          <a:ext cx="1387929" cy="365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거래 시간</a:t>
          </a:r>
        </a:p>
      </xdr:txBody>
    </xdr:sp>
    <xdr:clientData/>
  </xdr:oneCellAnchor>
  <xdr:oneCellAnchor>
    <xdr:from>
      <xdr:col>6</xdr:col>
      <xdr:colOff>2647832</xdr:colOff>
      <xdr:row>45</xdr:row>
      <xdr:rowOff>172435</xdr:rowOff>
    </xdr:from>
    <xdr:ext cx="1387929" cy="402760"/>
    <xdr:sp macro="" textlink="">
      <xdr:nvSpPr>
        <xdr:cNvPr id="10" name="TextBox 15">
          <a:extLst>
            <a:ext uri="{FF2B5EF4-FFF2-40B4-BE49-F238E27FC236}">
              <a16:creationId xmlns:a16="http://schemas.microsoft.com/office/drawing/2014/main" id="{64E94547-C227-42CF-9827-46932511E126}"/>
            </a:ext>
          </a:extLst>
        </xdr:cNvPr>
        <xdr:cNvSpPr txBox="1"/>
      </xdr:nvSpPr>
      <xdr:spPr>
        <a:xfrm>
          <a:off x="6672145" y="8189310"/>
          <a:ext cx="1387929" cy="402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거래</a:t>
          </a:r>
          <a:r>
            <a:rPr lang="en-US" altLang="ko-KR" sz="1000" b="1">
              <a:solidFill>
                <a:srgbClr val="FF0000"/>
              </a:solidFill>
            </a:rPr>
            <a:t> </a:t>
          </a:r>
          <a:r>
            <a:rPr lang="ko-KR" altLang="en-US" sz="1000" b="1">
              <a:solidFill>
                <a:srgbClr val="FF0000"/>
              </a:solidFill>
            </a:rPr>
            <a:t> 기간</a:t>
          </a:r>
        </a:p>
      </xdr:txBody>
    </xdr:sp>
    <xdr:clientData/>
  </xdr:oneCellAnchor>
  <xdr:oneCellAnchor>
    <xdr:from>
      <xdr:col>6</xdr:col>
      <xdr:colOff>1585018</xdr:colOff>
      <xdr:row>38</xdr:row>
      <xdr:rowOff>167140</xdr:rowOff>
    </xdr:from>
    <xdr:ext cx="2462893" cy="814945"/>
    <xdr:sp macro="" textlink="">
      <xdr:nvSpPr>
        <xdr:cNvPr id="11" name="TextBox 17">
          <a:extLst>
            <a:ext uri="{FF2B5EF4-FFF2-40B4-BE49-F238E27FC236}">
              <a16:creationId xmlns:a16="http://schemas.microsoft.com/office/drawing/2014/main" id="{CAD67CE6-71C5-4000-A891-DD7F791F8EB6}"/>
            </a:ext>
          </a:extLst>
        </xdr:cNvPr>
        <xdr:cNvSpPr txBox="1"/>
      </xdr:nvSpPr>
      <xdr:spPr>
        <a:xfrm>
          <a:off x="5603661" y="7206569"/>
          <a:ext cx="2462893" cy="814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3600" b="1">
              <a:solidFill>
                <a:srgbClr val="FF0000"/>
              </a:solidFill>
            </a:rPr>
            <a:t>RMB </a:t>
          </a:r>
          <a:r>
            <a:rPr lang="ko-KR" altLang="en-US" sz="3600" b="1">
              <a:solidFill>
                <a:srgbClr val="FF0000"/>
              </a:solidFill>
            </a:rPr>
            <a:t>내역</a:t>
          </a:r>
        </a:p>
      </xdr:txBody>
    </xdr:sp>
    <xdr:clientData/>
  </xdr:oneCellAnchor>
  <xdr:oneCellAnchor>
    <xdr:from>
      <xdr:col>6</xdr:col>
      <xdr:colOff>2383661</xdr:colOff>
      <xdr:row>55</xdr:row>
      <xdr:rowOff>18720</xdr:rowOff>
    </xdr:from>
    <xdr:ext cx="1387929" cy="394608"/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7B0780C4-EDA8-46A9-A59A-29301333A23A}"/>
            </a:ext>
          </a:extLst>
        </xdr:cNvPr>
        <xdr:cNvSpPr txBox="1"/>
      </xdr:nvSpPr>
      <xdr:spPr>
        <a:xfrm>
          <a:off x="6394744" y="10062303"/>
          <a:ext cx="1387929" cy="394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잔액</a:t>
          </a:r>
        </a:p>
      </xdr:txBody>
    </xdr:sp>
    <xdr:clientData/>
  </xdr:oneCellAnchor>
  <xdr:twoCellAnchor editAs="oneCell">
    <xdr:from>
      <xdr:col>8</xdr:col>
      <xdr:colOff>619124</xdr:colOff>
      <xdr:row>0</xdr:row>
      <xdr:rowOff>119063</xdr:rowOff>
    </xdr:from>
    <xdr:to>
      <xdr:col>20</xdr:col>
      <xdr:colOff>395384</xdr:colOff>
      <xdr:row>33</xdr:row>
      <xdr:rowOff>111125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388A768-6369-309A-804F-F38CA22F4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7687" y="119063"/>
          <a:ext cx="7324822" cy="588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31750</xdr:rowOff>
    </xdr:from>
    <xdr:to>
      <xdr:col>10</xdr:col>
      <xdr:colOff>476250</xdr:colOff>
      <xdr:row>97</xdr:row>
      <xdr:rowOff>105569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7298B8F-41D3-75FE-2090-C5C1B28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84375"/>
          <a:ext cx="9278938" cy="251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87313</xdr:rowOff>
    </xdr:from>
    <xdr:to>
      <xdr:col>10</xdr:col>
      <xdr:colOff>484186</xdr:colOff>
      <xdr:row>112</xdr:row>
      <xdr:rowOff>2441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B23973D-41CE-4045-6661-BC570D8E4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184688"/>
          <a:ext cx="9286874" cy="2534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87312</xdr:rowOff>
    </xdr:from>
    <xdr:to>
      <xdr:col>10</xdr:col>
      <xdr:colOff>508000</xdr:colOff>
      <xdr:row>120</xdr:row>
      <xdr:rowOff>81618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91A1C88-C5B8-22BE-8903-2A737167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629437"/>
          <a:ext cx="9310688" cy="15659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4%20&#51648;&#49324;&#44288;&#47144;\1%20&#51204;&#46020;&#44552;\3.%20&#49900;&#52380;\2023\09\&#51204;&#46020;&#44552;&#51221;&#49328;(&#49900;&#52380;)_202309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049/AppData/Local/Microsoft/Windows/INetCache/Content.Outlook/LUTMG520/23&#45380;_12&#50900;%20&#49900;&#52380;&#51648;&#49324;%20&#51204;&#46020;&#44552;%20&#51221;&#493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내역_23년9월!개체 1!교통비 정산!R69C14" advise="1"/>
        </mc:Choice>
        <mc:Fallback>
          <oleItem name="!내역_23년9월!개체 1!교통비 정산!R69C14" advise="1"/>
        </mc:Fallback>
      </mc:AlternateContent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통장지급내역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 refreshError="1">
        <row r="132">
          <cell r="D132">
            <v>7.2769496317577582</v>
          </cell>
        </row>
        <row r="138">
          <cell r="D138">
            <v>7.2758657112279561</v>
          </cell>
        </row>
        <row r="145">
          <cell r="D145">
            <v>7.1613626117569593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19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16"/>
  <sheetViews>
    <sheetView showGridLines="0" zoomScaleNormal="100" workbookViewId="0">
      <selection activeCell="G317" sqref="G317"/>
    </sheetView>
  </sheetViews>
  <sheetFormatPr defaultColWidth="9" defaultRowHeight="13.5" outlineLevelRow="1"/>
  <cols>
    <col min="1" max="1" width="2.375" style="119" customWidth="1"/>
    <col min="2" max="2" width="13.5" style="5" bestFit="1" customWidth="1"/>
    <col min="3" max="3" width="9" style="5"/>
    <col min="4" max="4" width="11.875" style="5" bestFit="1" customWidth="1"/>
    <col min="5" max="5" width="11.625" style="5" bestFit="1" customWidth="1"/>
    <col min="6" max="6" width="13.375" style="5" customWidth="1"/>
    <col min="7" max="7" width="10.5" style="5" bestFit="1" customWidth="1"/>
    <col min="8" max="8" width="10.875" style="5" bestFit="1" customWidth="1"/>
    <col min="9" max="10" width="11.875" style="5" bestFit="1" customWidth="1"/>
    <col min="11" max="13" width="10.5" style="5" bestFit="1" customWidth="1"/>
    <col min="14" max="14" width="12.5" style="5" customWidth="1"/>
    <col min="15" max="16" width="10.5" style="5" bestFit="1" customWidth="1"/>
    <col min="17" max="16384" width="9" style="5"/>
  </cols>
  <sheetData>
    <row r="1" spans="2:14" ht="6.6" customHeight="1" thickBot="1"/>
    <row r="2" spans="2:14">
      <c r="B2" s="1471" t="s">
        <v>38</v>
      </c>
      <c r="C2" s="1473" t="s">
        <v>39</v>
      </c>
      <c r="D2" s="1473"/>
      <c r="E2" s="1473"/>
      <c r="F2" s="1473" t="s">
        <v>40</v>
      </c>
      <c r="G2" s="1473"/>
      <c r="H2" s="1473"/>
      <c r="I2" s="1473" t="s">
        <v>41</v>
      </c>
      <c r="J2" s="1473"/>
      <c r="K2" s="1473" t="s">
        <v>42</v>
      </c>
      <c r="L2" s="1473"/>
      <c r="M2" s="1469" t="s">
        <v>43</v>
      </c>
      <c r="N2" s="1470"/>
    </row>
    <row r="3" spans="2:14" ht="27">
      <c r="B3" s="1472"/>
      <c r="C3" s="66" t="s">
        <v>44</v>
      </c>
      <c r="D3" s="66" t="s">
        <v>45</v>
      </c>
      <c r="E3" s="67" t="s">
        <v>46</v>
      </c>
      <c r="F3" s="68" t="s">
        <v>47</v>
      </c>
      <c r="G3" s="68" t="s">
        <v>48</v>
      </c>
      <c r="H3" s="69" t="s">
        <v>49</v>
      </c>
      <c r="I3" s="68" t="s">
        <v>73</v>
      </c>
      <c r="J3" s="68" t="s">
        <v>49</v>
      </c>
      <c r="K3" s="68" t="s">
        <v>73</v>
      </c>
      <c r="L3" s="68" t="s">
        <v>49</v>
      </c>
      <c r="M3" s="70" t="s">
        <v>47</v>
      </c>
      <c r="N3" s="391" t="s">
        <v>49</v>
      </c>
    </row>
    <row r="4" spans="2:14" ht="16.5" hidden="1" customHeight="1" outlineLevel="1">
      <c r="B4" s="392">
        <v>44630</v>
      </c>
      <c r="C4" s="35"/>
      <c r="D4" s="35"/>
      <c r="E4" s="35"/>
      <c r="F4" s="39"/>
      <c r="G4" s="39"/>
      <c r="H4" s="39"/>
      <c r="I4" s="39"/>
      <c r="J4" s="39"/>
      <c r="K4" s="39"/>
      <c r="L4" s="39"/>
      <c r="M4" s="39">
        <v>7.0000000000000007E-2</v>
      </c>
      <c r="N4" s="393">
        <v>0.15</v>
      </c>
    </row>
    <row r="5" spans="2:14" ht="16.5" hidden="1" customHeight="1" outlineLevel="1">
      <c r="B5" s="392"/>
      <c r="C5" s="35"/>
      <c r="D5" s="35"/>
      <c r="E5" s="35"/>
      <c r="F5" s="39">
        <v>9850.6200000000008</v>
      </c>
      <c r="G5" s="39"/>
      <c r="H5" s="39"/>
      <c r="I5" s="39"/>
      <c r="J5" s="39"/>
      <c r="K5" s="39"/>
      <c r="L5" s="39"/>
      <c r="M5" s="39"/>
      <c r="N5" s="393">
        <f t="shared" ref="N5:N22" si="0">N4+H5+J5-L5</f>
        <v>0.15</v>
      </c>
    </row>
    <row r="6" spans="2:14" ht="16.5" hidden="1" customHeight="1" outlineLevel="1">
      <c r="B6" s="392">
        <v>44631</v>
      </c>
      <c r="C6" s="71">
        <v>1234.5</v>
      </c>
      <c r="D6" s="65">
        <f>-H6/F6</f>
        <v>6.3620453698442665</v>
      </c>
      <c r="E6" s="35">
        <v>2000003023</v>
      </c>
      <c r="F6" s="39">
        <v>-9820.6200000000008</v>
      </c>
      <c r="G6" s="39"/>
      <c r="H6" s="39">
        <v>62479.23</v>
      </c>
      <c r="I6" s="39"/>
      <c r="J6" s="39"/>
      <c r="K6" s="39">
        <v>30</v>
      </c>
      <c r="L6" s="39"/>
      <c r="M6" s="39"/>
      <c r="N6" s="393">
        <f t="shared" si="0"/>
        <v>62479.380000000005</v>
      </c>
    </row>
    <row r="7" spans="2:14" ht="16.5" hidden="1" customHeight="1" outlineLevel="1">
      <c r="B7" s="392">
        <v>44635</v>
      </c>
      <c r="C7" s="35"/>
      <c r="D7" s="35"/>
      <c r="E7" s="35"/>
      <c r="F7" s="39"/>
      <c r="G7" s="39"/>
      <c r="H7" s="39"/>
      <c r="I7" s="39"/>
      <c r="J7" s="39"/>
      <c r="K7" s="39"/>
      <c r="L7" s="39">
        <v>55440</v>
      </c>
      <c r="M7" s="39"/>
      <c r="N7" s="393">
        <f t="shared" si="0"/>
        <v>7039.3800000000047</v>
      </c>
    </row>
    <row r="8" spans="2:14" ht="16.5" hidden="1" customHeight="1" outlineLevel="1">
      <c r="B8" s="392">
        <v>44641</v>
      </c>
      <c r="C8" s="35"/>
      <c r="D8" s="35"/>
      <c r="E8" s="35"/>
      <c r="F8" s="39"/>
      <c r="G8" s="39"/>
      <c r="H8" s="39"/>
      <c r="I8" s="39">
        <v>5.5013754170786029E-2</v>
      </c>
      <c r="J8" s="39">
        <v>0.35</v>
      </c>
      <c r="K8" s="39"/>
      <c r="L8" s="39"/>
      <c r="M8" s="39"/>
      <c r="N8" s="393">
        <f t="shared" si="0"/>
        <v>7039.730000000005</v>
      </c>
    </row>
    <row r="9" spans="2:14" hidden="1" outlineLevel="1">
      <c r="B9" s="392">
        <v>44648</v>
      </c>
      <c r="C9" s="35"/>
      <c r="D9" s="35"/>
      <c r="E9" s="35"/>
      <c r="F9" s="39"/>
      <c r="G9" s="39"/>
      <c r="H9" s="39"/>
      <c r="I9" s="39">
        <v>4274.5</v>
      </c>
      <c r="J9" s="39">
        <v>27194.531999999999</v>
      </c>
      <c r="K9" s="39"/>
      <c r="L9" s="39"/>
      <c r="M9" s="39"/>
      <c r="N9" s="393">
        <f t="shared" si="0"/>
        <v>34234.262000000002</v>
      </c>
    </row>
    <row r="10" spans="2:14" hidden="1" outlineLevel="1">
      <c r="B10" s="392">
        <v>44648</v>
      </c>
      <c r="C10" s="35"/>
      <c r="D10" s="35"/>
      <c r="E10" s="35"/>
      <c r="F10" s="39"/>
      <c r="G10" s="39"/>
      <c r="H10" s="39"/>
      <c r="I10" s="39"/>
      <c r="J10" s="39"/>
      <c r="K10" s="39"/>
      <c r="L10" s="39">
        <v>4654.536013031764</v>
      </c>
      <c r="M10" s="39"/>
      <c r="N10" s="393">
        <f t="shared" si="0"/>
        <v>29579.725986968238</v>
      </c>
    </row>
    <row r="11" spans="2:14" hidden="1" outlineLevel="1">
      <c r="B11" s="392">
        <v>44649</v>
      </c>
      <c r="C11" s="35"/>
      <c r="D11" s="35"/>
      <c r="E11" s="35"/>
      <c r="F11" s="39">
        <v>8777</v>
      </c>
      <c r="G11" s="39"/>
      <c r="H11" s="39"/>
      <c r="I11" s="39"/>
      <c r="J11" s="39"/>
      <c r="K11" s="39"/>
      <c r="L11" s="39"/>
      <c r="M11" s="39"/>
      <c r="N11" s="393">
        <f t="shared" si="0"/>
        <v>29579.725986968238</v>
      </c>
    </row>
    <row r="12" spans="2:14" hidden="1" outlineLevel="1">
      <c r="B12" s="392">
        <v>44649</v>
      </c>
      <c r="C12" s="71">
        <v>1218.3</v>
      </c>
      <c r="D12" s="65">
        <f>-H12/F12</f>
        <v>6.3468000917536411</v>
      </c>
      <c r="E12" s="35">
        <v>2000003673</v>
      </c>
      <c r="F12" s="39">
        <v>-8719</v>
      </c>
      <c r="G12" s="39"/>
      <c r="H12" s="39">
        <v>55337.75</v>
      </c>
      <c r="I12" s="39"/>
      <c r="J12" s="39"/>
      <c r="K12" s="39">
        <v>58</v>
      </c>
      <c r="L12" s="39"/>
      <c r="M12" s="39"/>
      <c r="N12" s="393">
        <f t="shared" si="0"/>
        <v>84917.475986968231</v>
      </c>
    </row>
    <row r="13" spans="2:14" hidden="1" outlineLevel="1">
      <c r="B13" s="394">
        <v>44650</v>
      </c>
      <c r="C13" s="161"/>
      <c r="D13" s="161"/>
      <c r="E13" s="161"/>
      <c r="F13" s="162"/>
      <c r="G13" s="162"/>
      <c r="H13" s="162"/>
      <c r="I13" s="162"/>
      <c r="J13" s="162"/>
      <c r="K13" s="162"/>
      <c r="L13" s="162">
        <v>1680</v>
      </c>
      <c r="M13" s="162"/>
      <c r="N13" s="395">
        <f t="shared" si="0"/>
        <v>83237.475986968231</v>
      </c>
    </row>
    <row r="14" spans="2:14" hidden="1" outlineLevel="1">
      <c r="B14" s="396"/>
      <c r="C14" s="163"/>
      <c r="D14" s="163"/>
      <c r="E14" s="163"/>
      <c r="F14" s="164"/>
      <c r="G14" s="164"/>
      <c r="H14" s="165"/>
      <c r="I14" s="165"/>
      <c r="J14" s="165"/>
      <c r="K14" s="164"/>
      <c r="L14" s="166"/>
      <c r="M14" s="167"/>
      <c r="N14" s="397">
        <f>N13</f>
        <v>83237.475986968231</v>
      </c>
    </row>
    <row r="15" spans="2:14" hidden="1" outlineLevel="1">
      <c r="B15" s="392">
        <v>44671</v>
      </c>
      <c r="C15" s="168"/>
      <c r="D15" s="168"/>
      <c r="E15" s="168"/>
      <c r="F15" s="169"/>
      <c r="G15" s="170"/>
      <c r="H15" s="170"/>
      <c r="I15" s="171"/>
      <c r="J15" s="171"/>
      <c r="K15" s="171"/>
      <c r="L15" s="171">
        <v>19440</v>
      </c>
      <c r="M15" s="170"/>
      <c r="N15" s="393">
        <f t="shared" si="0"/>
        <v>63797.475986968231</v>
      </c>
    </row>
    <row r="16" spans="2:14" hidden="1" outlineLevel="1">
      <c r="B16" s="392">
        <v>44675</v>
      </c>
      <c r="C16" s="168"/>
      <c r="D16" s="172"/>
      <c r="E16" s="172"/>
      <c r="F16" s="173"/>
      <c r="G16" s="170"/>
      <c r="H16" s="170"/>
      <c r="I16" s="171"/>
      <c r="J16" s="171"/>
      <c r="K16" s="171"/>
      <c r="L16" s="171">
        <v>18226.669999999998</v>
      </c>
      <c r="M16" s="170"/>
      <c r="N16" s="393">
        <f t="shared" si="0"/>
        <v>45570.805986968233</v>
      </c>
    </row>
    <row r="17" spans="2:14" hidden="1" outlineLevel="1" collapsed="1">
      <c r="B17" s="396"/>
      <c r="C17" s="163"/>
      <c r="D17" s="163"/>
      <c r="E17" s="163"/>
      <c r="F17" s="164"/>
      <c r="G17" s="164"/>
      <c r="H17" s="165"/>
      <c r="I17" s="165"/>
      <c r="J17" s="165"/>
      <c r="K17" s="164"/>
      <c r="L17" s="166"/>
      <c r="M17" s="167"/>
      <c r="N17" s="397">
        <f>N16</f>
        <v>45570.805986968233</v>
      </c>
    </row>
    <row r="18" spans="2:14" hidden="1" outlineLevel="1">
      <c r="B18" s="392">
        <v>44692</v>
      </c>
      <c r="C18" s="71">
        <v>1274.5999999999999</v>
      </c>
      <c r="D18" s="65">
        <f>-H18/F18</f>
        <v>6.7025994194602756</v>
      </c>
      <c r="E18" s="35">
        <v>2000006339</v>
      </c>
      <c r="F18" s="39">
        <v>-2459.7800000000002</v>
      </c>
      <c r="G18" s="39"/>
      <c r="H18" s="39">
        <v>16486.919999999998</v>
      </c>
      <c r="I18" s="39"/>
      <c r="J18" s="39"/>
      <c r="K18" s="39">
        <v>28</v>
      </c>
      <c r="L18" s="39"/>
      <c r="M18" s="39"/>
      <c r="N18" s="393">
        <f t="shared" si="0"/>
        <v>62057.725986968231</v>
      </c>
    </row>
    <row r="19" spans="2:14" hidden="1" outlineLevel="1">
      <c r="B19" s="392">
        <v>44692</v>
      </c>
      <c r="C19" s="35"/>
      <c r="D19" s="35"/>
      <c r="E19" s="35"/>
      <c r="F19" s="39"/>
      <c r="G19" s="39"/>
      <c r="H19" s="39"/>
      <c r="I19" s="39"/>
      <c r="J19" s="39"/>
      <c r="K19" s="39"/>
      <c r="L19" s="39">
        <v>97</v>
      </c>
      <c r="M19" s="39"/>
      <c r="N19" s="393">
        <f t="shared" si="0"/>
        <v>61960.725986968231</v>
      </c>
    </row>
    <row r="20" spans="2:14" hidden="1" outlineLevel="1">
      <c r="B20" s="392">
        <v>44705</v>
      </c>
      <c r="C20" s="35"/>
      <c r="D20" s="35"/>
      <c r="E20" s="35"/>
      <c r="F20" s="39"/>
      <c r="G20" s="39"/>
      <c r="H20" s="39"/>
      <c r="I20" s="39"/>
      <c r="J20" s="39"/>
      <c r="K20" s="39"/>
      <c r="L20" s="39">
        <v>44055.69</v>
      </c>
      <c r="M20" s="39"/>
      <c r="N20" s="393">
        <f t="shared" si="0"/>
        <v>17905.035986968229</v>
      </c>
    </row>
    <row r="21" spans="2:14" hidden="1" outlineLevel="1">
      <c r="B21" s="392">
        <v>44706</v>
      </c>
      <c r="C21" s="35"/>
      <c r="D21" s="35"/>
      <c r="E21" s="35"/>
      <c r="F21" s="39"/>
      <c r="G21" s="39"/>
      <c r="H21" s="39"/>
      <c r="I21" s="39"/>
      <c r="J21" s="39"/>
      <c r="K21" s="39"/>
      <c r="L21" s="198">
        <v>1418.4422635434273</v>
      </c>
      <c r="M21" s="39"/>
      <c r="N21" s="393">
        <f t="shared" si="0"/>
        <v>16486.593723424801</v>
      </c>
    </row>
    <row r="22" spans="2:14" hidden="1" outlineLevel="1">
      <c r="B22" s="392">
        <v>44706</v>
      </c>
      <c r="C22" s="35"/>
      <c r="D22" s="35"/>
      <c r="E22" s="35"/>
      <c r="F22" s="39"/>
      <c r="G22" s="39"/>
      <c r="H22" s="39"/>
      <c r="I22" s="39"/>
      <c r="J22" s="39"/>
      <c r="K22" s="39"/>
      <c r="L22" s="198">
        <v>12240.487736456573</v>
      </c>
      <c r="M22" s="39"/>
      <c r="N22" s="393">
        <f t="shared" si="0"/>
        <v>4246.1059869682285</v>
      </c>
    </row>
    <row r="23" spans="2:14" hidden="1" outlineLevel="1">
      <c r="B23" s="396"/>
      <c r="C23" s="163"/>
      <c r="D23" s="163"/>
      <c r="E23" s="163"/>
      <c r="F23" s="164"/>
      <c r="G23" s="164"/>
      <c r="H23" s="165"/>
      <c r="I23" s="165"/>
      <c r="J23" s="165"/>
      <c r="K23" s="164"/>
      <c r="L23" s="166"/>
      <c r="M23" s="167"/>
      <c r="N23" s="397">
        <f>N22</f>
        <v>4246.1059869682285</v>
      </c>
    </row>
    <row r="24" spans="2:14" hidden="1" outlineLevel="1" collapsed="1">
      <c r="B24" s="392">
        <v>44725</v>
      </c>
      <c r="C24" s="71">
        <v>1257.5999999999999</v>
      </c>
      <c r="D24" s="35"/>
      <c r="F24" s="39">
        <v>20524.310000000001</v>
      </c>
      <c r="G24" s="39"/>
      <c r="H24" s="39"/>
      <c r="I24" s="39"/>
      <c r="J24" s="39"/>
      <c r="K24" s="39"/>
      <c r="L24" s="39"/>
      <c r="M24" s="39"/>
      <c r="N24" s="393">
        <f t="shared" ref="N24:N30" si="1">N23+H24+J24-L24</f>
        <v>4246.1059869682285</v>
      </c>
    </row>
    <row r="25" spans="2:14" hidden="1" outlineLevel="1">
      <c r="B25" s="392">
        <v>44725</v>
      </c>
      <c r="C25" s="35"/>
      <c r="D25" s="65">
        <f>-H25/F25</f>
        <v>6.7188953625933063</v>
      </c>
      <c r="E25" s="35">
        <v>2000007883</v>
      </c>
      <c r="F25" s="77">
        <v>-20498.310000000001</v>
      </c>
      <c r="G25" s="39"/>
      <c r="H25" s="39">
        <v>137726</v>
      </c>
      <c r="I25" s="39"/>
      <c r="J25" s="39"/>
      <c r="K25" s="39">
        <v>26</v>
      </c>
      <c r="L25" s="39"/>
      <c r="M25" s="39"/>
      <c r="N25" s="393">
        <f t="shared" si="1"/>
        <v>141972.10598696824</v>
      </c>
    </row>
    <row r="26" spans="2:14" hidden="1" outlineLevel="1">
      <c r="B26" s="392">
        <v>44733</v>
      </c>
      <c r="C26" s="35"/>
      <c r="D26" s="35"/>
      <c r="E26" s="35"/>
      <c r="F26" s="39"/>
      <c r="G26" s="39"/>
      <c r="H26" s="39"/>
      <c r="I26" s="39"/>
      <c r="J26" s="39">
        <v>19.829999999999998</v>
      </c>
      <c r="K26" s="39"/>
      <c r="L26" s="39"/>
      <c r="M26" s="39"/>
      <c r="N26" s="393">
        <f t="shared" si="1"/>
        <v>141991.93598696822</v>
      </c>
    </row>
    <row r="27" spans="2:14" hidden="1" outlineLevel="1">
      <c r="B27" s="392">
        <v>44737</v>
      </c>
      <c r="C27" s="35"/>
      <c r="D27" s="35"/>
      <c r="E27" s="35"/>
      <c r="F27" s="39"/>
      <c r="G27" s="39"/>
      <c r="H27" s="39"/>
      <c r="I27" s="39"/>
      <c r="J27" s="39"/>
      <c r="K27" s="39"/>
      <c r="L27" s="198">
        <v>4266.26226354343</v>
      </c>
      <c r="M27" s="39"/>
      <c r="N27" s="393">
        <f t="shared" si="1"/>
        <v>137725.67372342478</v>
      </c>
    </row>
    <row r="28" spans="2:14" hidden="1" outlineLevel="1">
      <c r="B28" s="392">
        <v>44737</v>
      </c>
      <c r="C28" s="35"/>
      <c r="D28" s="35"/>
      <c r="E28" s="35"/>
      <c r="F28" s="39"/>
      <c r="G28" s="39"/>
      <c r="H28" s="39"/>
      <c r="I28" s="39"/>
      <c r="J28" s="39"/>
      <c r="K28" s="39"/>
      <c r="L28" s="198">
        <v>111230.25773645658</v>
      </c>
      <c r="M28" s="39"/>
      <c r="N28" s="393">
        <f t="shared" si="1"/>
        <v>26495.415986968204</v>
      </c>
    </row>
    <row r="29" spans="2:14" hidden="1" outlineLevel="1">
      <c r="B29" s="392">
        <v>44739</v>
      </c>
      <c r="C29" s="35"/>
      <c r="D29" s="35"/>
      <c r="E29" s="35"/>
      <c r="F29" s="39"/>
      <c r="G29" s="39"/>
      <c r="H29" s="39"/>
      <c r="I29" s="39"/>
      <c r="J29" s="39"/>
      <c r="K29" s="39"/>
      <c r="L29" s="39">
        <v>25271.200000000001</v>
      </c>
      <c r="M29" s="39"/>
      <c r="N29" s="393">
        <f t="shared" si="1"/>
        <v>1224.2159869682037</v>
      </c>
    </row>
    <row r="30" spans="2:14" hidden="1" outlineLevel="1">
      <c r="B30" s="392">
        <v>44740</v>
      </c>
      <c r="C30" s="35"/>
      <c r="D30" s="35"/>
      <c r="E30" s="35"/>
      <c r="F30" s="39"/>
      <c r="G30" s="39"/>
      <c r="H30" s="39"/>
      <c r="I30" s="39"/>
      <c r="J30" s="39"/>
      <c r="K30" s="39"/>
      <c r="L30" s="39">
        <v>503.6</v>
      </c>
      <c r="M30" s="39"/>
      <c r="N30" s="393">
        <f t="shared" si="1"/>
        <v>720.61598696820363</v>
      </c>
    </row>
    <row r="31" spans="2:14" hidden="1" outlineLevel="1">
      <c r="B31" s="396"/>
      <c r="C31" s="163"/>
      <c r="D31" s="163"/>
      <c r="E31" s="163"/>
      <c r="F31" s="164"/>
      <c r="G31" s="164"/>
      <c r="H31" s="165"/>
      <c r="I31" s="165"/>
      <c r="J31" s="165"/>
      <c r="K31" s="164"/>
      <c r="L31" s="166"/>
      <c r="M31" s="167"/>
      <c r="N31" s="397">
        <f>N30</f>
        <v>720.61598696820363</v>
      </c>
    </row>
    <row r="32" spans="2:14" hidden="1" outlineLevel="1" collapsed="1">
      <c r="B32" s="392">
        <v>44754</v>
      </c>
      <c r="C32" s="71">
        <v>1299.3</v>
      </c>
      <c r="D32" s="35"/>
      <c r="F32" s="39">
        <v>35786.57</v>
      </c>
      <c r="G32" s="39"/>
      <c r="H32" s="39"/>
      <c r="I32" s="39"/>
      <c r="J32" s="39"/>
      <c r="K32" s="39"/>
      <c r="L32" s="39"/>
      <c r="M32" s="39"/>
      <c r="N32" s="393">
        <f>N31+H32+J32-L32</f>
        <v>720.61598696820363</v>
      </c>
    </row>
    <row r="33" spans="2:14" hidden="1" outlineLevel="1">
      <c r="B33" s="392">
        <v>44754</v>
      </c>
      <c r="C33" s="35"/>
      <c r="D33" s="65">
        <f>-H33/F33</f>
        <v>6.7115048781381281</v>
      </c>
      <c r="E33" s="35">
        <v>2000009582</v>
      </c>
      <c r="F33" s="77">
        <v>-35760.57</v>
      </c>
      <c r="G33" s="39"/>
      <c r="H33" s="39">
        <v>240007.24</v>
      </c>
      <c r="I33" s="39"/>
      <c r="J33" s="39"/>
      <c r="K33" s="39">
        <v>26</v>
      </c>
      <c r="L33" s="39"/>
      <c r="M33" s="39"/>
      <c r="N33" s="393">
        <f t="shared" ref="N33:N38" si="2">N32+H33+J33-L33</f>
        <v>240727.85598696821</v>
      </c>
    </row>
    <row r="34" spans="2:14" hidden="1" outlineLevel="1">
      <c r="B34" s="392">
        <v>44756</v>
      </c>
      <c r="C34" s="35"/>
      <c r="D34" s="35"/>
      <c r="E34" s="35"/>
      <c r="F34" s="39"/>
      <c r="G34" s="39"/>
      <c r="H34" s="39"/>
      <c r="I34" s="39"/>
      <c r="J34" s="39"/>
      <c r="K34" s="39"/>
      <c r="L34" s="198">
        <v>719.1936972248933</v>
      </c>
      <c r="M34" s="39"/>
      <c r="N34" s="393">
        <f t="shared" si="2"/>
        <v>240008.66228974331</v>
      </c>
    </row>
    <row r="35" spans="2:14" hidden="1" outlineLevel="1">
      <c r="B35" s="392">
        <v>44756</v>
      </c>
      <c r="C35" s="35"/>
      <c r="D35" s="35"/>
      <c r="E35" s="35"/>
      <c r="F35" s="39"/>
      <c r="G35" s="39"/>
      <c r="H35" s="39"/>
      <c r="I35" s="39"/>
      <c r="J35" s="39"/>
      <c r="K35" s="39"/>
      <c r="L35" s="198">
        <v>10664.826302775107</v>
      </c>
      <c r="M35" s="39"/>
      <c r="N35" s="393">
        <f t="shared" si="2"/>
        <v>229343.83598696822</v>
      </c>
    </row>
    <row r="36" spans="2:14" hidden="1" outlineLevel="1">
      <c r="B36" s="392">
        <v>44757</v>
      </c>
      <c r="C36" s="35"/>
      <c r="D36" s="35"/>
      <c r="E36" s="35"/>
      <c r="F36" s="39"/>
      <c r="G36" s="39"/>
      <c r="H36" s="39"/>
      <c r="I36" s="39"/>
      <c r="J36" s="39"/>
      <c r="K36" s="39"/>
      <c r="L36" s="103">
        <v>137638.72000000003</v>
      </c>
      <c r="M36" s="39"/>
      <c r="N36" s="393">
        <f t="shared" si="2"/>
        <v>91705.115986968187</v>
      </c>
    </row>
    <row r="37" spans="2:14" hidden="1" outlineLevel="1">
      <c r="B37" s="392">
        <v>44760</v>
      </c>
      <c r="C37" s="35"/>
      <c r="D37" s="35"/>
      <c r="E37" s="35"/>
      <c r="F37" s="39"/>
      <c r="G37" s="39"/>
      <c r="H37" s="39"/>
      <c r="I37" s="39"/>
      <c r="J37" s="39"/>
      <c r="K37" s="39"/>
      <c r="L37" s="103">
        <v>51267.92</v>
      </c>
      <c r="M37" s="39"/>
      <c r="N37" s="393">
        <f t="shared" si="2"/>
        <v>40437.195986968189</v>
      </c>
    </row>
    <row r="38" spans="2:14" hidden="1" outlineLevel="1">
      <c r="B38" s="392">
        <v>44763</v>
      </c>
      <c r="C38" s="35"/>
      <c r="D38" s="35"/>
      <c r="E38" s="35"/>
      <c r="F38" s="39"/>
      <c r="G38" s="39"/>
      <c r="H38" s="39"/>
      <c r="I38" s="39"/>
      <c r="J38" s="39"/>
      <c r="K38" s="39"/>
      <c r="L38" s="39">
        <v>24157.11</v>
      </c>
      <c r="M38" s="39"/>
      <c r="N38" s="393">
        <f t="shared" si="2"/>
        <v>16280.085986968188</v>
      </c>
    </row>
    <row r="39" spans="2:14" hidden="1" outlineLevel="1">
      <c r="B39" s="396"/>
      <c r="C39" s="163"/>
      <c r="D39" s="163"/>
      <c r="E39" s="163"/>
      <c r="F39" s="164"/>
      <c r="G39" s="164"/>
      <c r="H39" s="165"/>
      <c r="I39" s="165"/>
      <c r="J39" s="165"/>
      <c r="K39" s="164"/>
      <c r="L39" s="166"/>
      <c r="M39" s="167"/>
      <c r="N39" s="397">
        <f>N38</f>
        <v>16280.085986968188</v>
      </c>
    </row>
    <row r="40" spans="2:14" hidden="1" outlineLevel="1" collapsed="1">
      <c r="B40" s="392">
        <v>44784</v>
      </c>
      <c r="C40" s="71">
        <v>1305.0999999999999</v>
      </c>
      <c r="D40" s="35"/>
      <c r="F40" s="39">
        <v>23963.94</v>
      </c>
      <c r="G40" s="39"/>
      <c r="H40" s="39"/>
      <c r="I40" s="39"/>
      <c r="J40" s="39"/>
      <c r="K40" s="39"/>
      <c r="L40" s="39"/>
      <c r="M40" s="39"/>
      <c r="N40" s="393">
        <f>N39+H40+J40-L40</f>
        <v>16280.085986968188</v>
      </c>
    </row>
    <row r="41" spans="2:14" hidden="1" outlineLevel="1">
      <c r="B41" s="392">
        <v>44784</v>
      </c>
      <c r="C41" s="35"/>
      <c r="D41" s="65">
        <f>-H41/F41</f>
        <v>6.7186758760361176</v>
      </c>
      <c r="E41" s="35">
        <v>2000011142</v>
      </c>
      <c r="F41" s="77">
        <v>-23937.94</v>
      </c>
      <c r="G41" s="39"/>
      <c r="H41" s="39">
        <v>160831.26</v>
      </c>
      <c r="I41" s="39"/>
      <c r="J41" s="39"/>
      <c r="K41" s="39">
        <v>26</v>
      </c>
      <c r="L41" s="39"/>
      <c r="M41" s="39"/>
      <c r="N41" s="393">
        <f>N40+H41+J41-L41</f>
        <v>177111.3459869682</v>
      </c>
    </row>
    <row r="42" spans="2:14" hidden="1" outlineLevel="1">
      <c r="B42" s="392">
        <v>44793</v>
      </c>
      <c r="C42" s="35"/>
      <c r="D42" s="35"/>
      <c r="E42" s="35"/>
      <c r="F42" s="39"/>
      <c r="G42" s="39"/>
      <c r="H42" s="39"/>
      <c r="I42" s="39"/>
      <c r="J42" s="39"/>
      <c r="K42" s="39"/>
      <c r="L42" s="198">
        <v>16280.374568992227</v>
      </c>
      <c r="M42" s="39"/>
      <c r="N42" s="393">
        <f>N41+H42+J42-L42</f>
        <v>160830.97141797596</v>
      </c>
    </row>
    <row r="43" spans="2:14" hidden="1" outlineLevel="1">
      <c r="B43" s="392">
        <v>44793</v>
      </c>
      <c r="C43" s="35"/>
      <c r="D43" s="35"/>
      <c r="E43" s="35"/>
      <c r="F43" s="39"/>
      <c r="G43" s="39"/>
      <c r="H43" s="39"/>
      <c r="I43" s="39"/>
      <c r="J43" s="39"/>
      <c r="K43" s="39"/>
      <c r="L43" s="198">
        <v>158773.54543100783</v>
      </c>
      <c r="M43" s="39"/>
      <c r="N43" s="393">
        <f>N42+H43+J43-L43</f>
        <v>2057.4259869681264</v>
      </c>
    </row>
    <row r="44" spans="2:14" hidden="1" outlineLevel="1">
      <c r="B44" s="396"/>
      <c r="C44" s="163"/>
      <c r="D44" s="163"/>
      <c r="E44" s="163"/>
      <c r="F44" s="164"/>
      <c r="G44" s="164"/>
      <c r="H44" s="165"/>
      <c r="I44" s="165"/>
      <c r="J44" s="165"/>
      <c r="K44" s="164"/>
      <c r="L44" s="166"/>
      <c r="M44" s="167"/>
      <c r="N44" s="397">
        <f>N43</f>
        <v>2057.4259869681264</v>
      </c>
    </row>
    <row r="45" spans="2:14" hidden="1" outlineLevel="1" collapsed="1">
      <c r="B45" s="392">
        <v>44818</v>
      </c>
      <c r="C45" s="71">
        <v>1381.2</v>
      </c>
      <c r="D45" s="35"/>
      <c r="F45" s="39">
        <v>28264.400000000001</v>
      </c>
      <c r="G45" s="39"/>
      <c r="H45" s="39"/>
      <c r="I45" s="39"/>
      <c r="J45" s="39"/>
      <c r="K45" s="39"/>
      <c r="L45" s="39"/>
      <c r="M45" s="39"/>
      <c r="N45" s="393">
        <f t="shared" ref="N45:N50" si="3">N44+H45+J45-L45</f>
        <v>2057.4259869681264</v>
      </c>
    </row>
    <row r="46" spans="2:14" hidden="1" outlineLevel="1">
      <c r="B46" s="392">
        <v>44818</v>
      </c>
      <c r="C46" s="35"/>
      <c r="D46" s="65">
        <f>-H46/F46</f>
        <v>6.9421486344835399</v>
      </c>
      <c r="E46" s="35">
        <v>2000012706</v>
      </c>
      <c r="F46" s="77">
        <v>-28238.400000000001</v>
      </c>
      <c r="G46" s="39"/>
      <c r="H46" s="39">
        <v>196035.17</v>
      </c>
      <c r="I46" s="39"/>
      <c r="J46" s="39"/>
      <c r="K46" s="39">
        <v>26</v>
      </c>
      <c r="L46" s="39"/>
      <c r="M46" s="39"/>
      <c r="N46" s="393">
        <f t="shared" si="3"/>
        <v>198092.59598696814</v>
      </c>
    </row>
    <row r="47" spans="2:14" hidden="1" outlineLevel="1">
      <c r="B47" s="392">
        <v>44823</v>
      </c>
      <c r="C47" s="35"/>
      <c r="D47" s="35"/>
      <c r="E47" s="35"/>
      <c r="F47" s="77"/>
      <c r="G47" s="39"/>
      <c r="H47" s="39"/>
      <c r="I47" s="39"/>
      <c r="J47" s="39"/>
      <c r="K47" s="39"/>
      <c r="L47" s="198">
        <v>2057.71</v>
      </c>
      <c r="M47" s="39"/>
      <c r="N47" s="393">
        <f t="shared" si="3"/>
        <v>196034.88598696815</v>
      </c>
    </row>
    <row r="48" spans="2:14" hidden="1" outlineLevel="1">
      <c r="B48" s="392">
        <v>44823</v>
      </c>
      <c r="C48" s="35"/>
      <c r="D48" s="35"/>
      <c r="E48" s="35"/>
      <c r="F48" s="77"/>
      <c r="G48" s="39"/>
      <c r="H48" s="39"/>
      <c r="I48" s="39"/>
      <c r="J48" s="39"/>
      <c r="K48" s="39"/>
      <c r="L48" s="198">
        <v>17389.490000000002</v>
      </c>
      <c r="M48" s="39"/>
      <c r="N48" s="393">
        <f t="shared" si="3"/>
        <v>178645.39598696816</v>
      </c>
    </row>
    <row r="49" spans="2:14" hidden="1" outlineLevel="1">
      <c r="B49" s="392">
        <v>44825</v>
      </c>
      <c r="C49" s="35"/>
      <c r="D49" s="35"/>
      <c r="E49" s="35"/>
      <c r="F49" s="77"/>
      <c r="G49" s="39"/>
      <c r="H49" s="39"/>
      <c r="I49" s="39"/>
      <c r="J49" s="39">
        <v>49.51</v>
      </c>
      <c r="K49" s="39"/>
      <c r="L49" s="39"/>
      <c r="M49" s="39"/>
      <c r="N49" s="393">
        <f t="shared" si="3"/>
        <v>178694.90598696817</v>
      </c>
    </row>
    <row r="50" spans="2:14" hidden="1" outlineLevel="1">
      <c r="B50" s="392">
        <v>44827</v>
      </c>
      <c r="C50" s="35"/>
      <c r="D50" s="35"/>
      <c r="E50" s="35"/>
      <c r="F50" s="39"/>
      <c r="G50" s="39"/>
      <c r="H50" s="39"/>
      <c r="I50" s="39"/>
      <c r="J50" s="39"/>
      <c r="K50" s="39"/>
      <c r="L50" s="39">
        <v>147317.71000000008</v>
      </c>
      <c r="M50" s="39"/>
      <c r="N50" s="393">
        <f t="shared" si="3"/>
        <v>31377.195986968087</v>
      </c>
    </row>
    <row r="51" spans="2:14" hidden="1" outlineLevel="1">
      <c r="B51" s="396"/>
      <c r="C51" s="163"/>
      <c r="D51" s="163"/>
      <c r="E51" s="163"/>
      <c r="F51" s="164"/>
      <c r="G51" s="164"/>
      <c r="H51" s="165"/>
      <c r="I51" s="165"/>
      <c r="J51" s="165"/>
      <c r="K51" s="164"/>
      <c r="L51" s="166"/>
      <c r="M51" s="167"/>
      <c r="N51" s="397">
        <f>N50</f>
        <v>31377.195986968087</v>
      </c>
    </row>
    <row r="52" spans="2:14" hidden="1" outlineLevel="1" collapsed="1">
      <c r="B52" s="392">
        <v>44818</v>
      </c>
      <c r="C52" s="71">
        <v>1410.3</v>
      </c>
      <c r="D52" s="35"/>
      <c r="F52" s="39">
        <v>29519.69</v>
      </c>
      <c r="G52" s="39"/>
      <c r="H52" s="39"/>
      <c r="I52" s="39"/>
      <c r="J52" s="39"/>
      <c r="K52" s="39"/>
      <c r="L52" s="39"/>
      <c r="M52" s="39"/>
      <c r="N52" s="393">
        <f>N51+H52+J52-L52</f>
        <v>31377.195986968087</v>
      </c>
    </row>
    <row r="53" spans="2:14" hidden="1" outlineLevel="1">
      <c r="B53" s="392">
        <v>44818</v>
      </c>
      <c r="C53" s="35"/>
      <c r="D53" s="65">
        <f>-H53/F53</f>
        <v>7.1423406159080134</v>
      </c>
      <c r="E53" s="35">
        <v>2000014154</v>
      </c>
      <c r="F53" s="77">
        <v>-29493.69</v>
      </c>
      <c r="G53" s="39"/>
      <c r="H53" s="39">
        <v>210653.98</v>
      </c>
      <c r="I53" s="39"/>
      <c r="J53" s="39"/>
      <c r="K53" s="39">
        <v>26</v>
      </c>
      <c r="L53" s="39"/>
      <c r="M53" s="39"/>
      <c r="N53" s="393">
        <f t="shared" ref="N53:N63" si="4">N52+H53+J53-L53</f>
        <v>242031.1759869681</v>
      </c>
    </row>
    <row r="54" spans="2:14" hidden="1" outlineLevel="1">
      <c r="B54" s="392">
        <v>44858</v>
      </c>
      <c r="C54" s="35"/>
      <c r="D54" s="35"/>
      <c r="E54" s="35"/>
      <c r="F54" s="77"/>
      <c r="G54" s="39"/>
      <c r="H54" s="39"/>
      <c r="I54" s="39"/>
      <c r="J54" s="103">
        <v>3097.26</v>
      </c>
      <c r="K54" s="39"/>
      <c r="L54" s="39"/>
      <c r="M54" s="39"/>
      <c r="N54" s="393">
        <f t="shared" si="4"/>
        <v>245128.43598696811</v>
      </c>
    </row>
    <row r="55" spans="2:14" hidden="1" outlineLevel="1">
      <c r="B55" s="392">
        <v>44859</v>
      </c>
      <c r="C55" s="35"/>
      <c r="D55" s="35"/>
      <c r="E55" s="35"/>
      <c r="F55" s="77"/>
      <c r="G55" s="39"/>
      <c r="H55" s="39"/>
      <c r="I55" s="39"/>
      <c r="J55" s="39"/>
      <c r="K55" s="39"/>
      <c r="L55" s="198">
        <v>34474.730505570427</v>
      </c>
      <c r="M55" s="39"/>
      <c r="N55" s="393">
        <f t="shared" si="4"/>
        <v>210653.70548139769</v>
      </c>
    </row>
    <row r="56" spans="2:14" hidden="1" outlineLevel="1">
      <c r="B56" s="392">
        <v>44859</v>
      </c>
      <c r="C56" s="35"/>
      <c r="D56" s="35"/>
      <c r="E56" s="35"/>
      <c r="F56" s="77"/>
      <c r="G56" s="39"/>
      <c r="H56" s="39"/>
      <c r="I56" s="39"/>
      <c r="J56" s="39"/>
      <c r="K56" s="39"/>
      <c r="L56" s="198">
        <v>173895.18082395574</v>
      </c>
      <c r="M56" s="39"/>
      <c r="N56" s="393">
        <f t="shared" si="4"/>
        <v>36758.524657441943</v>
      </c>
    </row>
    <row r="57" spans="2:14" hidden="1" outlineLevel="1">
      <c r="B57" s="392">
        <v>44825</v>
      </c>
      <c r="C57" s="35"/>
      <c r="D57" s="35"/>
      <c r="E57" s="35"/>
      <c r="F57" s="77"/>
      <c r="G57" s="39"/>
      <c r="H57" s="39"/>
      <c r="I57" s="39"/>
      <c r="J57" s="39"/>
      <c r="K57" s="39"/>
      <c r="L57" s="39">
        <v>1666.4299999999998</v>
      </c>
      <c r="M57" s="39"/>
      <c r="N57" s="393">
        <f t="shared" si="4"/>
        <v>35092.094657441943</v>
      </c>
    </row>
    <row r="58" spans="2:14" hidden="1" outlineLevel="1">
      <c r="B58" s="392">
        <v>44827</v>
      </c>
      <c r="C58" s="35"/>
      <c r="D58" s="35"/>
      <c r="E58" s="35"/>
      <c r="F58" s="39"/>
      <c r="G58" s="39"/>
      <c r="H58" s="39"/>
      <c r="I58" s="39"/>
      <c r="J58" s="39"/>
      <c r="K58" s="39"/>
      <c r="L58" s="39"/>
      <c r="M58" s="39"/>
      <c r="N58" s="393">
        <f t="shared" si="4"/>
        <v>35092.094657441943</v>
      </c>
    </row>
    <row r="59" spans="2:14" hidden="1" outlineLevel="1" collapsed="1">
      <c r="B59" s="396"/>
      <c r="C59" s="163"/>
      <c r="D59" s="163"/>
      <c r="E59" s="163"/>
      <c r="F59" s="164"/>
      <c r="G59" s="164"/>
      <c r="H59" s="165"/>
      <c r="I59" s="165"/>
      <c r="J59" s="165"/>
      <c r="K59" s="164"/>
      <c r="L59" s="166"/>
      <c r="M59" s="167"/>
      <c r="N59" s="397">
        <f>N58</f>
        <v>35092.094657441943</v>
      </c>
    </row>
    <row r="60" spans="2:14" hidden="1" outlineLevel="1">
      <c r="B60" s="392">
        <v>44876</v>
      </c>
      <c r="C60" s="71">
        <v>1368.3</v>
      </c>
      <c r="D60" s="35"/>
      <c r="E60" s="35"/>
      <c r="F60" s="39">
        <v>22744.400000000001</v>
      </c>
      <c r="G60" s="39"/>
      <c r="H60" s="39"/>
      <c r="I60" s="39"/>
      <c r="J60" s="39"/>
      <c r="K60" s="39"/>
      <c r="L60" s="39"/>
      <c r="M60" s="39"/>
      <c r="N60" s="393">
        <f t="shared" si="4"/>
        <v>35092.094657441943</v>
      </c>
    </row>
    <row r="61" spans="2:14" hidden="1" outlineLevel="1">
      <c r="B61" s="392">
        <v>44876</v>
      </c>
      <c r="C61" s="71"/>
      <c r="D61" s="65">
        <f>-H61/F61</f>
        <v>7.1521207479399953</v>
      </c>
      <c r="E61" s="35">
        <v>2000015651</v>
      </c>
      <c r="F61" s="39">
        <v>-22718.400000000001</v>
      </c>
      <c r="G61" s="39"/>
      <c r="H61" s="39">
        <v>162484.74</v>
      </c>
      <c r="I61" s="39"/>
      <c r="J61" s="39"/>
      <c r="K61" s="39">
        <v>26</v>
      </c>
      <c r="M61" s="39"/>
      <c r="N61" s="393">
        <f t="shared" si="4"/>
        <v>197576.83465744194</v>
      </c>
    </row>
    <row r="62" spans="2:14" hidden="1" outlineLevel="1">
      <c r="B62" s="392">
        <v>44890</v>
      </c>
      <c r="C62" s="71"/>
      <c r="D62" s="35"/>
      <c r="E62" s="35"/>
      <c r="F62" s="39"/>
      <c r="G62" s="39"/>
      <c r="H62" s="39"/>
      <c r="I62" s="39"/>
      <c r="J62" s="39"/>
      <c r="K62" s="39"/>
      <c r="L62" s="198">
        <v>35092.369176044333</v>
      </c>
      <c r="M62" s="39"/>
      <c r="N62" s="393">
        <f t="shared" si="4"/>
        <v>162484.46548139761</v>
      </c>
    </row>
    <row r="63" spans="2:14" hidden="1" outlineLevel="1">
      <c r="B63" s="392">
        <v>44890</v>
      </c>
      <c r="C63" s="71"/>
      <c r="D63" s="35"/>
      <c r="E63" s="35"/>
      <c r="F63" s="39"/>
      <c r="G63" s="39"/>
      <c r="H63" s="39"/>
      <c r="I63" s="39"/>
      <c r="J63" s="39"/>
      <c r="K63" s="39"/>
      <c r="L63" s="198">
        <v>126770.19</v>
      </c>
      <c r="M63" s="39"/>
      <c r="N63" s="393">
        <f t="shared" si="4"/>
        <v>35714.275481397606</v>
      </c>
    </row>
    <row r="64" spans="2:14" hidden="1" outlineLevel="1">
      <c r="B64" s="396"/>
      <c r="C64" s="163"/>
      <c r="D64" s="163"/>
      <c r="E64" s="163"/>
      <c r="F64" s="164"/>
      <c r="G64" s="164"/>
      <c r="H64" s="165"/>
      <c r="I64" s="165"/>
      <c r="J64" s="165"/>
      <c r="K64" s="164"/>
      <c r="L64" s="166"/>
      <c r="M64" s="167"/>
      <c r="N64" s="397">
        <f>N63</f>
        <v>35714.275481397606</v>
      </c>
    </row>
    <row r="65" spans="2:14" hidden="1" outlineLevel="1" collapsed="1">
      <c r="B65" s="392">
        <v>44908</v>
      </c>
      <c r="C65" s="71">
        <v>1306.5999999999999</v>
      </c>
      <c r="D65" s="35"/>
      <c r="E65" s="35"/>
      <c r="F65" s="39">
        <v>24225.32</v>
      </c>
      <c r="G65" s="39"/>
      <c r="H65" s="39"/>
      <c r="I65" s="39"/>
      <c r="J65" s="39"/>
      <c r="K65" s="39"/>
      <c r="L65" s="39"/>
      <c r="M65" s="39"/>
      <c r="N65" s="393">
        <f t="shared" ref="N65:N82" si="5">N64+H65+J65-L65</f>
        <v>35714.275481397606</v>
      </c>
    </row>
    <row r="66" spans="2:14" hidden="1" outlineLevel="1">
      <c r="B66" s="392">
        <v>44908</v>
      </c>
      <c r="C66" s="71"/>
      <c r="D66" s="65">
        <f>-H66/F66</f>
        <v>6.9550074134314528</v>
      </c>
      <c r="E66" s="35">
        <v>2000017245</v>
      </c>
      <c r="F66" s="39">
        <v>-24199.32</v>
      </c>
      <c r="G66" s="39"/>
      <c r="H66" s="39">
        <v>168306.45</v>
      </c>
      <c r="I66" s="39"/>
      <c r="J66" s="39"/>
      <c r="K66" s="39">
        <v>26</v>
      </c>
      <c r="M66" s="39"/>
      <c r="N66" s="393">
        <f t="shared" si="5"/>
        <v>204020.72548139762</v>
      </c>
    </row>
    <row r="67" spans="2:14" hidden="1" outlineLevel="1">
      <c r="B67" s="392">
        <v>45285</v>
      </c>
      <c r="C67" s="71"/>
      <c r="D67" s="35"/>
      <c r="E67" s="35"/>
      <c r="F67" s="39"/>
      <c r="G67" s="39"/>
      <c r="H67" s="39"/>
      <c r="I67" s="39"/>
      <c r="J67" s="39">
        <v>94.71</v>
      </c>
      <c r="K67" s="39"/>
      <c r="L67" s="198">
        <v>35809.301177232832</v>
      </c>
      <c r="M67" s="39"/>
      <c r="N67" s="393">
        <f t="shared" si="5"/>
        <v>168306.13430416479</v>
      </c>
    </row>
    <row r="68" spans="2:14" hidden="1" outlineLevel="1">
      <c r="B68" s="392">
        <v>45285</v>
      </c>
      <c r="C68" s="71"/>
      <c r="D68" s="35"/>
      <c r="E68" s="35"/>
      <c r="F68" s="39"/>
      <c r="G68" s="39"/>
      <c r="H68" s="39"/>
      <c r="I68" s="39"/>
      <c r="J68" s="39"/>
      <c r="K68" s="39"/>
      <c r="L68" s="198">
        <v>124605.89882276722</v>
      </c>
      <c r="M68" s="39"/>
      <c r="N68" s="393">
        <f t="shared" si="5"/>
        <v>43700.235481397569</v>
      </c>
    </row>
    <row r="69" spans="2:14" hidden="1" outlineLevel="1">
      <c r="B69" s="392">
        <v>45286</v>
      </c>
      <c r="C69" s="71"/>
      <c r="D69" s="35"/>
      <c r="E69" s="35"/>
      <c r="F69" s="39"/>
      <c r="G69" s="39"/>
      <c r="H69" s="39"/>
      <c r="I69" s="39"/>
      <c r="J69" s="39"/>
      <c r="K69" s="39"/>
      <c r="L69" s="398">
        <v>1574.7999999999997</v>
      </c>
      <c r="M69" s="39"/>
      <c r="N69" s="393">
        <f t="shared" si="5"/>
        <v>42125.435481397566</v>
      </c>
    </row>
    <row r="70" spans="2:14" hidden="1" outlineLevel="1">
      <c r="B70" s="396"/>
      <c r="C70" s="163"/>
      <c r="D70" s="163"/>
      <c r="E70" s="163"/>
      <c r="F70" s="164"/>
      <c r="G70" s="164"/>
      <c r="H70" s="165"/>
      <c r="I70" s="165"/>
      <c r="J70" s="165"/>
      <c r="K70" s="164"/>
      <c r="L70" s="166"/>
      <c r="M70" s="167"/>
      <c r="N70" s="397">
        <f>N69</f>
        <v>42125.435481397566</v>
      </c>
    </row>
    <row r="71" spans="2:14" hidden="1" outlineLevel="1" collapsed="1">
      <c r="B71" s="392">
        <v>44937</v>
      </c>
      <c r="C71" s="71"/>
      <c r="D71" s="35"/>
      <c r="E71" s="35"/>
      <c r="F71" s="39"/>
      <c r="G71" s="39"/>
      <c r="H71" s="39"/>
      <c r="I71" s="39"/>
      <c r="J71" s="39"/>
      <c r="K71" s="39"/>
      <c r="L71" s="39">
        <v>17495.22</v>
      </c>
      <c r="M71" s="39"/>
      <c r="N71" s="393">
        <f>N69+H71+J71-L71</f>
        <v>24630.215481397565</v>
      </c>
    </row>
    <row r="72" spans="2:14" hidden="1" outlineLevel="1">
      <c r="B72" s="392">
        <v>44937</v>
      </c>
      <c r="C72" s="71">
        <v>1246.8</v>
      </c>
      <c r="D72" s="35"/>
      <c r="E72" s="35"/>
      <c r="F72" s="39">
        <v>33835.839999999997</v>
      </c>
      <c r="G72" s="39"/>
      <c r="H72" s="39"/>
      <c r="I72" s="39"/>
      <c r="J72" s="39"/>
      <c r="K72" s="39"/>
      <c r="L72" s="39"/>
      <c r="M72" s="39"/>
      <c r="N72" s="393">
        <f>N71+H72+J72-L72</f>
        <v>24630.215481397565</v>
      </c>
    </row>
    <row r="73" spans="2:14" hidden="1" outlineLevel="1">
      <c r="B73" s="392">
        <v>44937</v>
      </c>
      <c r="C73" s="71"/>
      <c r="D73" s="65">
        <f>-H73/F73</f>
        <v>6.7601776282359562</v>
      </c>
      <c r="E73" s="35">
        <v>2000000169</v>
      </c>
      <c r="F73" s="39">
        <v>-33809.94</v>
      </c>
      <c r="G73" s="39"/>
      <c r="H73" s="39">
        <v>228561.2</v>
      </c>
      <c r="I73" s="39"/>
      <c r="J73" s="39"/>
      <c r="K73" s="39">
        <v>25.9</v>
      </c>
      <c r="L73" s="39"/>
      <c r="M73" s="39"/>
      <c r="N73" s="393">
        <f t="shared" si="5"/>
        <v>253191.41548139759</v>
      </c>
    </row>
    <row r="74" spans="2:14" hidden="1" outlineLevel="1">
      <c r="B74" s="392">
        <v>44940</v>
      </c>
      <c r="C74" s="71"/>
      <c r="D74" s="35"/>
      <c r="E74" s="35"/>
      <c r="F74" s="39"/>
      <c r="G74" s="39"/>
      <c r="H74" s="39"/>
      <c r="I74" s="39"/>
      <c r="J74" s="39"/>
      <c r="K74" s="39"/>
      <c r="L74" s="198">
        <v>24630.508266320441</v>
      </c>
      <c r="M74" s="39"/>
      <c r="N74" s="393">
        <f t="shared" si="5"/>
        <v>228560.90721507714</v>
      </c>
    </row>
    <row r="75" spans="2:14" hidden="1" outlineLevel="1">
      <c r="B75" s="392">
        <v>44940</v>
      </c>
      <c r="C75" s="71"/>
      <c r="D75" s="35"/>
      <c r="E75" s="35"/>
      <c r="F75" s="39"/>
      <c r="G75" s="39"/>
      <c r="H75" s="39"/>
      <c r="I75" s="39"/>
      <c r="J75" s="39"/>
      <c r="K75" s="39"/>
      <c r="L75" s="198">
        <v>145903.79173367957</v>
      </c>
      <c r="M75" s="39"/>
      <c r="N75" s="393">
        <f t="shared" si="5"/>
        <v>82657.115481397574</v>
      </c>
    </row>
    <row r="76" spans="2:14" hidden="1" outlineLevel="1">
      <c r="B76" s="392">
        <v>44946</v>
      </c>
      <c r="C76" s="71"/>
      <c r="D76" s="35"/>
      <c r="E76" s="35"/>
      <c r="F76" s="39"/>
      <c r="G76" s="39"/>
      <c r="H76" s="39"/>
      <c r="I76" s="39"/>
      <c r="J76" s="39"/>
      <c r="K76" s="39"/>
      <c r="L76" s="39">
        <v>28453.249999999993</v>
      </c>
      <c r="M76" s="39"/>
      <c r="N76" s="393">
        <f t="shared" si="5"/>
        <v>54203.865481397581</v>
      </c>
    </row>
    <row r="77" spans="2:14" hidden="1" outlineLevel="1">
      <c r="B77" s="396"/>
      <c r="C77" s="163"/>
      <c r="D77" s="163"/>
      <c r="E77" s="163"/>
      <c r="F77" s="164"/>
      <c r="G77" s="164"/>
      <c r="H77" s="165"/>
      <c r="I77" s="165"/>
      <c r="J77" s="165"/>
      <c r="K77" s="164"/>
      <c r="L77" s="166"/>
      <c r="M77" s="167"/>
      <c r="N77" s="397">
        <f>N76</f>
        <v>54203.865481397581</v>
      </c>
    </row>
    <row r="78" spans="2:14" hidden="1" outlineLevel="1" collapsed="1">
      <c r="B78" s="392">
        <v>44970</v>
      </c>
      <c r="C78" s="71">
        <v>1263.0999999999999</v>
      </c>
      <c r="D78" s="35"/>
      <c r="E78" s="35"/>
      <c r="F78" s="39">
        <v>27612.62</v>
      </c>
      <c r="G78" s="39"/>
      <c r="H78" s="39"/>
      <c r="I78" s="39"/>
      <c r="J78" s="39"/>
      <c r="K78" s="39"/>
      <c r="L78" s="39"/>
      <c r="M78" s="39"/>
      <c r="N78" s="393">
        <f t="shared" si="5"/>
        <v>54203.865481397581</v>
      </c>
    </row>
    <row r="79" spans="2:14" hidden="1" outlineLevel="1">
      <c r="B79" s="392">
        <v>44970</v>
      </c>
      <c r="C79" s="71"/>
      <c r="D79" s="65">
        <f>-H79/F79</f>
        <v>6.8174000657435956</v>
      </c>
      <c r="E79" s="35">
        <v>2000001819</v>
      </c>
      <c r="F79" s="39">
        <v>-27561.62</v>
      </c>
      <c r="G79" s="39"/>
      <c r="H79" s="39">
        <v>187898.59</v>
      </c>
      <c r="I79" s="39"/>
      <c r="J79" s="39"/>
      <c r="K79" s="39">
        <v>51</v>
      </c>
      <c r="L79" s="39"/>
      <c r="M79" s="39"/>
      <c r="N79" s="393">
        <f t="shared" si="5"/>
        <v>242102.45548139757</v>
      </c>
    </row>
    <row r="80" spans="2:14" hidden="1" outlineLevel="1">
      <c r="B80" s="392">
        <v>44980</v>
      </c>
      <c r="C80" s="39"/>
      <c r="D80" s="39"/>
      <c r="E80" s="39"/>
      <c r="F80" s="39"/>
      <c r="G80" s="39"/>
      <c r="H80" s="39"/>
      <c r="I80" s="39"/>
      <c r="J80" s="39"/>
      <c r="K80" s="39"/>
      <c r="L80" s="198">
        <v>54204.253453392703</v>
      </c>
      <c r="M80" s="39"/>
      <c r="N80" s="393">
        <f t="shared" si="5"/>
        <v>187898.20202800486</v>
      </c>
    </row>
    <row r="81" spans="2:14" hidden="1" outlineLevel="1">
      <c r="B81" s="392">
        <v>44980</v>
      </c>
      <c r="C81" s="39"/>
      <c r="D81" s="39"/>
      <c r="E81" s="39"/>
      <c r="F81" s="39"/>
      <c r="G81" s="39"/>
      <c r="H81" s="39"/>
      <c r="I81" s="39"/>
      <c r="J81" s="39"/>
      <c r="K81" s="39"/>
      <c r="L81" s="198">
        <v>142834.25654660739</v>
      </c>
      <c r="M81" s="39"/>
      <c r="N81" s="393">
        <f t="shared" si="5"/>
        <v>45063.945481397473</v>
      </c>
    </row>
    <row r="82" spans="2:14" hidden="1" outlineLevel="1">
      <c r="B82" s="392">
        <v>44981</v>
      </c>
      <c r="C82" s="39"/>
      <c r="D82" s="39"/>
      <c r="E82" s="39"/>
      <c r="F82" s="39"/>
      <c r="G82" s="39"/>
      <c r="H82" s="39"/>
      <c r="I82" s="39"/>
      <c r="J82" s="39"/>
      <c r="K82" s="39"/>
      <c r="L82" s="39">
        <v>503.6</v>
      </c>
      <c r="M82" s="39"/>
      <c r="N82" s="393">
        <f t="shared" si="5"/>
        <v>44560.345481397475</v>
      </c>
    </row>
    <row r="83" spans="2:14" hidden="1" outlineLevel="1">
      <c r="B83" s="396"/>
      <c r="C83" s="163"/>
      <c r="D83" s="163"/>
      <c r="E83" s="163"/>
      <c r="F83" s="164"/>
      <c r="G83" s="164"/>
      <c r="H83" s="165"/>
      <c r="I83" s="165"/>
      <c r="J83" s="165"/>
      <c r="K83" s="164"/>
      <c r="L83" s="166"/>
      <c r="M83" s="167"/>
      <c r="N83" s="397">
        <f>N82</f>
        <v>44560.345481397475</v>
      </c>
    </row>
    <row r="84" spans="2:14" hidden="1" outlineLevel="1" collapsed="1">
      <c r="B84" s="392">
        <v>44998</v>
      </c>
      <c r="C84" s="71">
        <v>1319.7</v>
      </c>
      <c r="D84" s="35"/>
      <c r="E84" s="35"/>
      <c r="F84" s="39">
        <v>35117.99</v>
      </c>
      <c r="G84" s="39"/>
      <c r="H84" s="39"/>
      <c r="I84" s="39"/>
      <c r="J84" s="39"/>
      <c r="K84" s="39"/>
      <c r="L84" s="39"/>
      <c r="M84" s="39"/>
      <c r="N84" s="393">
        <f t="shared" ref="N84:N89" si="6">N83+H84+J84-L84</f>
        <v>44560.345481397475</v>
      </c>
    </row>
    <row r="85" spans="2:14" hidden="1" outlineLevel="1">
      <c r="B85" s="392">
        <v>44998</v>
      </c>
      <c r="C85" s="71"/>
      <c r="D85" s="65">
        <f>-H85/F85</f>
        <v>6.8972828272206854</v>
      </c>
      <c r="E85" s="35">
        <v>2000003370</v>
      </c>
      <c r="F85" s="39">
        <v>-35091.99</v>
      </c>
      <c r="G85" s="39"/>
      <c r="H85" s="39">
        <v>242039.38</v>
      </c>
      <c r="I85" s="39"/>
      <c r="J85" s="39"/>
      <c r="K85" s="39">
        <v>26</v>
      </c>
      <c r="L85" s="39">
        <v>7.2</v>
      </c>
      <c r="M85" s="39"/>
      <c r="N85" s="393">
        <f t="shared" si="6"/>
        <v>286592.52548139746</v>
      </c>
    </row>
    <row r="86" spans="2:14" hidden="1" outlineLevel="1">
      <c r="B86" s="392">
        <v>45005</v>
      </c>
      <c r="C86" s="39"/>
      <c r="D86" s="39"/>
      <c r="E86" s="39"/>
      <c r="F86" s="39"/>
      <c r="G86" s="39"/>
      <c r="H86" s="39"/>
      <c r="I86" s="39"/>
      <c r="J86" s="39"/>
      <c r="K86" s="39"/>
      <c r="L86" s="39">
        <v>12607.2</v>
      </c>
      <c r="M86" s="39"/>
      <c r="N86" s="393">
        <f t="shared" si="6"/>
        <v>273985.32548139745</v>
      </c>
    </row>
    <row r="87" spans="2:14" hidden="1" outlineLevel="1">
      <c r="B87" s="392">
        <v>45006</v>
      </c>
      <c r="C87" s="39"/>
      <c r="D87" s="39"/>
      <c r="E87" s="39"/>
      <c r="F87" s="39"/>
      <c r="G87" s="39"/>
      <c r="H87" s="39"/>
      <c r="I87" s="39">
        <v>13</v>
      </c>
      <c r="J87" s="39">
        <v>88.61</v>
      </c>
      <c r="K87" s="39"/>
      <c r="L87" s="198">
        <v>32034.943453392749</v>
      </c>
      <c r="M87" s="39"/>
      <c r="N87" s="393">
        <f t="shared" si="6"/>
        <v>242038.99202800469</v>
      </c>
    </row>
    <row r="88" spans="2:14" hidden="1" outlineLevel="1">
      <c r="B88" s="392">
        <v>45006</v>
      </c>
      <c r="C88" s="39"/>
      <c r="D88" s="39"/>
      <c r="E88" s="39"/>
      <c r="F88" s="39"/>
      <c r="G88" s="39"/>
      <c r="H88" s="39"/>
      <c r="I88" s="39"/>
      <c r="J88" s="39"/>
      <c r="K88" s="39"/>
      <c r="L88" s="198">
        <v>181264.42654660725</v>
      </c>
      <c r="M88" s="39"/>
      <c r="N88" s="393">
        <f t="shared" si="6"/>
        <v>60774.56548139744</v>
      </c>
    </row>
    <row r="89" spans="2:14" hidden="1" outlineLevel="1">
      <c r="B89" s="392">
        <v>45008</v>
      </c>
      <c r="C89" s="39"/>
      <c r="D89" s="39"/>
      <c r="E89" s="39"/>
      <c r="F89" s="39"/>
      <c r="G89" s="39"/>
      <c r="H89" s="39"/>
      <c r="I89" s="39"/>
      <c r="J89" s="39"/>
      <c r="K89" s="39"/>
      <c r="L89" s="39">
        <v>40959.659999999996</v>
      </c>
      <c r="M89" s="39"/>
      <c r="N89" s="393">
        <f t="shared" si="6"/>
        <v>19814.905481397444</v>
      </c>
    </row>
    <row r="90" spans="2:14" hidden="1" outlineLevel="1">
      <c r="B90" s="396"/>
      <c r="C90" s="163"/>
      <c r="D90" s="163"/>
      <c r="E90" s="163"/>
      <c r="F90" s="164"/>
      <c r="G90" s="164"/>
      <c r="H90" s="165"/>
      <c r="I90" s="165"/>
      <c r="J90" s="165"/>
      <c r="K90" s="164"/>
      <c r="L90" s="166"/>
      <c r="M90" s="167"/>
      <c r="N90" s="397">
        <f>N89</f>
        <v>19814.905481397444</v>
      </c>
    </row>
    <row r="91" spans="2:14" hidden="1" outlineLevel="1">
      <c r="B91" s="392">
        <v>45027</v>
      </c>
      <c r="C91" s="71">
        <v>1318.9</v>
      </c>
      <c r="D91" s="35"/>
      <c r="E91" s="35"/>
      <c r="F91" s="39">
        <v>84751</v>
      </c>
      <c r="G91" s="39"/>
      <c r="H91" s="39"/>
      <c r="I91" s="39"/>
      <c r="J91" s="39"/>
      <c r="K91" s="39"/>
      <c r="L91" s="39"/>
      <c r="M91" s="39"/>
      <c r="N91" s="393">
        <f t="shared" ref="N91:N96" si="7">N90+H91+J91-L91</f>
        <v>19814.905481397444</v>
      </c>
    </row>
    <row r="92" spans="2:14" hidden="1" outlineLevel="1">
      <c r="B92" s="392">
        <v>45027</v>
      </c>
      <c r="C92" s="71"/>
      <c r="D92" s="65">
        <f>-H92/F92</f>
        <v>6.8713999999999995</v>
      </c>
      <c r="E92" s="35">
        <v>2000004939</v>
      </c>
      <c r="F92" s="38">
        <v>-84700</v>
      </c>
      <c r="G92" s="39"/>
      <c r="H92" s="39">
        <v>582007.57999999996</v>
      </c>
      <c r="I92" s="39"/>
      <c r="J92" s="39"/>
      <c r="K92" s="39">
        <v>51</v>
      </c>
      <c r="L92" s="39"/>
      <c r="M92" s="39"/>
      <c r="N92" s="393">
        <f t="shared" si="7"/>
        <v>601822.48548139737</v>
      </c>
    </row>
    <row r="93" spans="2:14" hidden="1" outlineLevel="1">
      <c r="B93" s="392">
        <v>45033</v>
      </c>
      <c r="C93" s="39"/>
      <c r="D93" s="39"/>
      <c r="E93" s="39"/>
      <c r="F93" s="39"/>
      <c r="G93" s="39"/>
      <c r="H93" s="39"/>
      <c r="I93" s="39"/>
      <c r="J93" s="39"/>
      <c r="K93" s="39"/>
      <c r="L93" s="198">
        <v>19815.312857491524</v>
      </c>
      <c r="M93" s="39"/>
      <c r="N93" s="393">
        <f t="shared" si="7"/>
        <v>582007.17262390582</v>
      </c>
    </row>
    <row r="94" spans="2:14" hidden="1" outlineLevel="1">
      <c r="B94" s="392">
        <v>45033</v>
      </c>
      <c r="C94" s="39"/>
      <c r="D94" s="39"/>
      <c r="E94" s="39"/>
      <c r="F94" s="39"/>
      <c r="G94" s="39"/>
      <c r="H94" s="39"/>
      <c r="I94" s="39"/>
      <c r="J94" s="39"/>
      <c r="K94" s="39"/>
      <c r="L94" s="198">
        <v>15261.837142508477</v>
      </c>
      <c r="M94" s="39"/>
      <c r="N94" s="393">
        <f t="shared" si="7"/>
        <v>566745.33548139734</v>
      </c>
    </row>
    <row r="95" spans="2:14" hidden="1" outlineLevel="1">
      <c r="B95" s="392">
        <v>45037</v>
      </c>
      <c r="C95" s="39"/>
      <c r="D95" s="39"/>
      <c r="E95" s="39"/>
      <c r="F95" s="39"/>
      <c r="G95" s="39"/>
      <c r="H95" s="39"/>
      <c r="I95" s="39"/>
      <c r="J95" s="39"/>
      <c r="K95" s="39"/>
      <c r="L95" s="39">
        <v>204183.47000000009</v>
      </c>
      <c r="M95" s="39"/>
      <c r="N95" s="393">
        <f t="shared" si="7"/>
        <v>362561.86548139725</v>
      </c>
    </row>
    <row r="96" spans="2:14" hidden="1" outlineLevel="1">
      <c r="B96" s="392">
        <v>45040</v>
      </c>
      <c r="C96" s="39"/>
      <c r="D96" s="39"/>
      <c r="E96" s="39"/>
      <c r="F96" s="39"/>
      <c r="G96" s="39"/>
      <c r="H96" s="39"/>
      <c r="I96" s="39"/>
      <c r="J96" s="39"/>
      <c r="K96" s="39"/>
      <c r="L96" s="39">
        <v>1557.4699999999998</v>
      </c>
      <c r="M96" s="39"/>
      <c r="N96" s="393">
        <f t="shared" si="7"/>
        <v>361004.39548139728</v>
      </c>
    </row>
    <row r="97" spans="1:14" hidden="1" outlineLevel="1">
      <c r="B97" s="396"/>
      <c r="C97" s="163"/>
      <c r="D97" s="163"/>
      <c r="E97" s="163"/>
      <c r="F97" s="164"/>
      <c r="G97" s="164"/>
      <c r="H97" s="165"/>
      <c r="I97" s="165"/>
      <c r="J97" s="165"/>
      <c r="K97" s="164"/>
      <c r="L97" s="166"/>
      <c r="M97" s="167"/>
      <c r="N97" s="397">
        <f>N96</f>
        <v>361004.39548139728</v>
      </c>
    </row>
    <row r="98" spans="1:14" hidden="1" outlineLevel="1" collapsed="1">
      <c r="B98" s="392">
        <v>45057</v>
      </c>
      <c r="C98" s="39"/>
      <c r="D98" s="39"/>
      <c r="E98" s="39"/>
      <c r="F98" s="39"/>
      <c r="G98" s="39"/>
      <c r="H98" s="39"/>
      <c r="I98" s="39"/>
      <c r="J98" s="39"/>
      <c r="K98" s="39"/>
      <c r="L98" s="39">
        <v>2003.6</v>
      </c>
      <c r="M98" s="39"/>
      <c r="N98" s="393">
        <f>N97+H98+J98-L98</f>
        <v>359000.7954813973</v>
      </c>
    </row>
    <row r="99" spans="1:14" hidden="1" outlineLevel="1">
      <c r="B99" s="392">
        <v>45063</v>
      </c>
      <c r="C99" s="39"/>
      <c r="D99" s="39"/>
      <c r="E99" s="39"/>
      <c r="F99" s="39"/>
      <c r="G99" s="39"/>
      <c r="H99" s="39"/>
      <c r="I99" s="39"/>
      <c r="J99" s="39"/>
      <c r="K99" s="39"/>
      <c r="L99" s="39">
        <v>132862.43</v>
      </c>
      <c r="M99" s="39"/>
      <c r="N99" s="393">
        <f>N98+H99+J99-L99</f>
        <v>226138.36548139731</v>
      </c>
    </row>
    <row r="100" spans="1:14" hidden="1" outlineLevel="1">
      <c r="B100" s="392">
        <v>45068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>
        <v>146745.89000000007</v>
      </c>
      <c r="M100" s="39"/>
      <c r="N100" s="393">
        <f>N99+H100+J100-L100</f>
        <v>79392.475481397239</v>
      </c>
    </row>
    <row r="101" spans="1:14" hidden="1" outlineLevel="1">
      <c r="B101" s="396"/>
      <c r="C101" s="163"/>
      <c r="D101" s="163"/>
      <c r="E101" s="163"/>
      <c r="F101" s="164"/>
      <c r="G101" s="164"/>
      <c r="H101" s="165"/>
      <c r="I101" s="165"/>
      <c r="J101" s="165"/>
      <c r="K101" s="164"/>
      <c r="L101" s="166"/>
      <c r="M101" s="167"/>
      <c r="N101" s="397">
        <f>N100</f>
        <v>79392.475481397239</v>
      </c>
    </row>
    <row r="102" spans="1:14" hidden="1" outlineLevel="1">
      <c r="B102" s="392">
        <v>45088</v>
      </c>
      <c r="C102" s="71">
        <v>1300.5</v>
      </c>
      <c r="D102" s="35"/>
      <c r="E102" s="35"/>
      <c r="F102" s="39">
        <v>47933.1</v>
      </c>
      <c r="G102" s="39"/>
      <c r="H102" s="39"/>
      <c r="I102" s="39"/>
      <c r="J102" s="39"/>
      <c r="K102" s="39"/>
      <c r="L102" s="39"/>
      <c r="M102" s="39"/>
      <c r="N102" s="393">
        <f t="shared" ref="N102:N107" si="8">N101+H102+J102-L102</f>
        <v>79392.475481397239</v>
      </c>
    </row>
    <row r="103" spans="1:14" hidden="1" outlineLevel="1">
      <c r="B103" s="392">
        <v>45088</v>
      </c>
      <c r="C103" s="71"/>
      <c r="D103" s="65">
        <f>-H103/F103</f>
        <v>7.1286783781471046</v>
      </c>
      <c r="E103" s="35">
        <v>2000000266</v>
      </c>
      <c r="F103" s="38">
        <v>-47913.1</v>
      </c>
      <c r="G103" s="39"/>
      <c r="H103" s="39">
        <v>341557.08</v>
      </c>
      <c r="I103" s="39"/>
      <c r="J103" s="39"/>
      <c r="K103" s="39">
        <v>20</v>
      </c>
      <c r="L103" s="39"/>
      <c r="M103" s="39"/>
      <c r="N103" s="393">
        <f t="shared" si="8"/>
        <v>420949.55548139726</v>
      </c>
    </row>
    <row r="104" spans="1:14" hidden="1" outlineLevel="1">
      <c r="B104" s="392">
        <v>45089</v>
      </c>
      <c r="C104" s="71"/>
      <c r="D104" s="35"/>
      <c r="E104" s="35"/>
      <c r="F104" s="39"/>
      <c r="G104" s="39"/>
      <c r="H104" s="39"/>
      <c r="I104" s="39"/>
      <c r="J104" s="39"/>
      <c r="K104" s="39"/>
      <c r="L104" s="39">
        <v>21715.98</v>
      </c>
      <c r="M104" s="39"/>
      <c r="N104" s="393">
        <f>N103+H104+J104-L104</f>
        <v>399233.57548139727</v>
      </c>
    </row>
    <row r="105" spans="1:14" hidden="1" outlineLevel="1">
      <c r="B105" s="392">
        <v>45098</v>
      </c>
      <c r="C105" s="71"/>
      <c r="D105" s="35"/>
      <c r="E105" s="35"/>
      <c r="F105" s="39"/>
      <c r="G105" s="39"/>
      <c r="H105" s="39"/>
      <c r="I105" s="39"/>
      <c r="J105" s="39">
        <v>221.66</v>
      </c>
      <c r="K105" s="39"/>
      <c r="L105" s="198">
        <v>57898.602817999992</v>
      </c>
      <c r="M105" s="39"/>
      <c r="N105" s="393">
        <f>N104+H105+J105-L105</f>
        <v>341556.63266339723</v>
      </c>
    </row>
    <row r="106" spans="1:14" hidden="1" outlineLevel="1">
      <c r="B106" s="392">
        <v>45098</v>
      </c>
      <c r="C106" s="71"/>
      <c r="D106" s="35"/>
      <c r="E106" s="35"/>
      <c r="F106" s="39"/>
      <c r="G106" s="39"/>
      <c r="H106" s="39"/>
      <c r="I106" s="39"/>
      <c r="J106" s="39"/>
      <c r="K106" s="39"/>
      <c r="L106" s="198">
        <v>116691.207182</v>
      </c>
      <c r="M106" s="39"/>
      <c r="N106" s="393">
        <f t="shared" si="8"/>
        <v>224865.42548139725</v>
      </c>
    </row>
    <row r="107" spans="1:14" hidden="1" outlineLevel="1">
      <c r="B107" s="392">
        <v>45102</v>
      </c>
      <c r="C107" s="71"/>
      <c r="D107" s="35"/>
      <c r="E107" s="35"/>
      <c r="F107" s="39"/>
      <c r="G107" s="39"/>
      <c r="H107" s="39"/>
      <c r="I107" s="39"/>
      <c r="J107" s="39"/>
      <c r="K107" s="39"/>
      <c r="L107" s="39">
        <v>56735.039999999986</v>
      </c>
      <c r="M107" s="39"/>
      <c r="N107" s="393">
        <f t="shared" si="8"/>
        <v>168130.38548139727</v>
      </c>
    </row>
    <row r="108" spans="1:14" hidden="1" outlineLevel="1" collapsed="1">
      <c r="B108" s="396"/>
      <c r="C108" s="163"/>
      <c r="D108" s="163"/>
      <c r="E108" s="163"/>
      <c r="F108" s="164"/>
      <c r="G108" s="164"/>
      <c r="H108" s="165"/>
      <c r="I108" s="165"/>
      <c r="J108" s="165"/>
      <c r="K108" s="164"/>
      <c r="L108" s="166"/>
      <c r="M108" s="167"/>
      <c r="N108" s="397">
        <f>N107</f>
        <v>168130.38548139727</v>
      </c>
    </row>
    <row r="109" spans="1:14" hidden="1" outlineLevel="1">
      <c r="B109" s="392">
        <v>45128</v>
      </c>
      <c r="C109" s="71"/>
      <c r="D109" s="35"/>
      <c r="E109" s="35"/>
      <c r="F109" s="39"/>
      <c r="G109" s="39"/>
      <c r="H109" s="39"/>
      <c r="I109" s="39"/>
      <c r="J109" s="39"/>
      <c r="K109" s="39"/>
      <c r="L109" s="39">
        <v>89939.810000000012</v>
      </c>
      <c r="M109" s="39"/>
      <c r="N109" s="393">
        <f t="shared" ref="N109:N124" si="9">N108+H109+J109-L109</f>
        <v>78190.57548139726</v>
      </c>
    </row>
    <row r="110" spans="1:14" ht="14.25" hidden="1" outlineLevel="1" thickBot="1">
      <c r="B110" s="399">
        <v>45133</v>
      </c>
      <c r="C110" s="400"/>
      <c r="D110" s="401"/>
      <c r="E110" s="401"/>
      <c r="F110" s="402"/>
      <c r="G110" s="403"/>
      <c r="H110" s="403"/>
      <c r="I110" s="403"/>
      <c r="J110" s="403"/>
      <c r="K110" s="403"/>
      <c r="L110" s="403">
        <v>78190.58</v>
      </c>
      <c r="M110" s="403"/>
      <c r="N110" s="404">
        <f t="shared" si="9"/>
        <v>-4.518602741882205E-3</v>
      </c>
    </row>
    <row r="111" spans="1:14" hidden="1" outlineLevel="1" collapsed="1">
      <c r="A111" s="422" t="s">
        <v>862</v>
      </c>
      <c r="B111" s="419">
        <v>45133</v>
      </c>
      <c r="C111" s="388">
        <v>1265.4000000000001</v>
      </c>
      <c r="D111" s="389"/>
      <c r="E111" s="389"/>
      <c r="F111" s="390">
        <v>13422</v>
      </c>
      <c r="G111" s="390"/>
      <c r="H111" s="390"/>
      <c r="I111" s="390"/>
      <c r="J111" s="390"/>
      <c r="K111" s="390"/>
      <c r="L111" s="390"/>
      <c r="M111" s="390"/>
      <c r="N111" s="420">
        <f t="shared" si="9"/>
        <v>-4.518602741882205E-3</v>
      </c>
    </row>
    <row r="112" spans="1:14" hidden="1" outlineLevel="1">
      <c r="A112" s="422" t="s">
        <v>863</v>
      </c>
      <c r="B112" s="392">
        <v>45133</v>
      </c>
      <c r="C112" s="71"/>
      <c r="D112" s="421">
        <f>-H112/F112</f>
        <v>7.1283719020603167</v>
      </c>
      <c r="E112" s="35"/>
      <c r="F112" s="39">
        <v>-13396</v>
      </c>
      <c r="G112" s="39"/>
      <c r="H112" s="39">
        <v>95491.67</v>
      </c>
      <c r="I112" s="39"/>
      <c r="J112" s="39"/>
      <c r="K112" s="39">
        <v>26</v>
      </c>
      <c r="L112" s="39"/>
      <c r="M112" s="39"/>
      <c r="N112" s="393">
        <f t="shared" si="9"/>
        <v>95491.665481397256</v>
      </c>
    </row>
    <row r="113" spans="1:14" hidden="1" outlineLevel="1">
      <c r="A113" s="422"/>
      <c r="B113" s="392">
        <v>45134</v>
      </c>
      <c r="C113" s="71"/>
      <c r="D113" s="35"/>
      <c r="E113" s="35"/>
      <c r="F113" s="39"/>
      <c r="G113" s="39"/>
      <c r="H113" s="39"/>
      <c r="I113" s="39"/>
      <c r="J113" s="39"/>
      <c r="K113" s="39"/>
      <c r="L113" s="39">
        <v>327.38</v>
      </c>
      <c r="M113" s="39"/>
      <c r="N113" s="393">
        <f t="shared" si="9"/>
        <v>95164.285481397252</v>
      </c>
    </row>
    <row r="114" spans="1:14" hidden="1" outlineLevel="1">
      <c r="B114" s="392">
        <v>45135</v>
      </c>
      <c r="C114" s="71"/>
      <c r="D114" s="35"/>
      <c r="E114" s="35"/>
      <c r="F114" s="39"/>
      <c r="G114" s="39"/>
      <c r="H114" s="39"/>
      <c r="I114" s="39"/>
      <c r="J114" s="39"/>
      <c r="K114" s="39"/>
      <c r="L114" s="39">
        <v>87206.62999999999</v>
      </c>
      <c r="M114" s="39"/>
      <c r="N114" s="393">
        <f t="shared" si="9"/>
        <v>7957.6554813972616</v>
      </c>
    </row>
    <row r="115" spans="1:14" hidden="1" outlineLevel="1">
      <c r="B115" s="419">
        <v>45142</v>
      </c>
      <c r="C115" s="388">
        <v>1280</v>
      </c>
      <c r="D115" s="389"/>
      <c r="E115" s="389"/>
      <c r="F115" s="390">
        <v>10923</v>
      </c>
      <c r="G115" s="390"/>
      <c r="H115" s="390"/>
      <c r="I115" s="390"/>
      <c r="J115" s="390"/>
      <c r="K115" s="390"/>
      <c r="L115" s="390"/>
      <c r="M115" s="390"/>
      <c r="N115" s="393">
        <f t="shared" si="9"/>
        <v>7957.6554813972616</v>
      </c>
    </row>
    <row r="116" spans="1:14" hidden="1" outlineLevel="1">
      <c r="B116" s="419">
        <v>45142</v>
      </c>
      <c r="C116" s="388"/>
      <c r="D116" s="421">
        <f>-H116/F116</f>
        <v>7.1512553913921257</v>
      </c>
      <c r="E116" s="389"/>
      <c r="F116" s="390">
        <v>-10897</v>
      </c>
      <c r="G116" s="390"/>
      <c r="H116" s="390">
        <v>77927.23</v>
      </c>
      <c r="I116" s="390"/>
      <c r="J116" s="390"/>
      <c r="K116" s="390">
        <v>26</v>
      </c>
      <c r="L116" s="390"/>
      <c r="M116" s="390"/>
      <c r="N116" s="393">
        <f t="shared" si="9"/>
        <v>85884.885481397258</v>
      </c>
    </row>
    <row r="117" spans="1:14" hidden="1" outlineLevel="1">
      <c r="B117" s="419">
        <v>45142</v>
      </c>
      <c r="C117" s="388"/>
      <c r="D117" s="389"/>
      <c r="E117" s="389"/>
      <c r="F117" s="390"/>
      <c r="G117" s="390"/>
      <c r="H117" s="390"/>
      <c r="I117" s="390"/>
      <c r="J117" s="390"/>
      <c r="K117" s="390"/>
      <c r="L117" s="415">
        <v>7957.6599999999962</v>
      </c>
      <c r="M117" s="390"/>
      <c r="N117" s="393">
        <f t="shared" si="9"/>
        <v>77927.225481397269</v>
      </c>
    </row>
    <row r="118" spans="1:14" hidden="1" outlineLevel="1">
      <c r="B118" s="419">
        <v>45142</v>
      </c>
      <c r="C118" s="388"/>
      <c r="D118" s="389"/>
      <c r="E118" s="389"/>
      <c r="F118" s="390"/>
      <c r="G118" s="390"/>
      <c r="H118" s="390"/>
      <c r="I118" s="390"/>
      <c r="J118" s="390"/>
      <c r="K118" s="390"/>
      <c r="L118" s="415">
        <v>66049.539999999994</v>
      </c>
      <c r="M118" s="390"/>
      <c r="N118" s="393">
        <f t="shared" si="9"/>
        <v>11877.685481397275</v>
      </c>
    </row>
    <row r="119" spans="1:14" hidden="1" outlineLevel="1">
      <c r="B119" s="419">
        <v>45148</v>
      </c>
      <c r="C119" s="388">
        <v>1318.3</v>
      </c>
      <c r="D119" s="389"/>
      <c r="E119" s="389"/>
      <c r="F119" s="390">
        <v>60399</v>
      </c>
      <c r="G119" s="390"/>
      <c r="H119" s="390"/>
      <c r="I119" s="390"/>
      <c r="J119" s="390"/>
      <c r="K119" s="390"/>
      <c r="L119" s="390"/>
      <c r="M119" s="390"/>
      <c r="N119" s="393">
        <f t="shared" si="9"/>
        <v>11877.685481397275</v>
      </c>
    </row>
    <row r="120" spans="1:14" hidden="1" outlineLevel="1">
      <c r="B120" s="419">
        <v>45148</v>
      </c>
      <c r="C120" s="388"/>
      <c r="D120" s="421">
        <f>-H120/F120</f>
        <v>7.2133117453166156</v>
      </c>
      <c r="E120" s="389"/>
      <c r="F120" s="390">
        <v>-60373</v>
      </c>
      <c r="G120" s="390"/>
      <c r="H120" s="390">
        <v>435489.27</v>
      </c>
      <c r="I120" s="390"/>
      <c r="J120" s="390"/>
      <c r="K120" s="390">
        <v>26</v>
      </c>
      <c r="L120" s="390"/>
      <c r="M120" s="390"/>
      <c r="N120" s="393">
        <f t="shared" si="9"/>
        <v>447366.95548139728</v>
      </c>
    </row>
    <row r="121" spans="1:14" hidden="1" outlineLevel="1">
      <c r="B121" s="419">
        <v>45156</v>
      </c>
      <c r="C121" s="388"/>
      <c r="D121" s="389"/>
      <c r="E121" s="389"/>
      <c r="F121" s="390"/>
      <c r="G121" s="390"/>
      <c r="H121" s="390"/>
      <c r="I121" s="390"/>
      <c r="J121" s="390"/>
      <c r="K121" s="390"/>
      <c r="L121" s="418">
        <v>11877.689999999999</v>
      </c>
      <c r="M121" s="390"/>
      <c r="N121" s="393">
        <f t="shared" si="9"/>
        <v>435489.26548139728</v>
      </c>
    </row>
    <row r="122" spans="1:14" hidden="1" outlineLevel="1">
      <c r="B122" s="419">
        <v>45156</v>
      </c>
      <c r="C122" s="388"/>
      <c r="D122" s="389"/>
      <c r="E122" s="389"/>
      <c r="F122" s="390"/>
      <c r="G122" s="390"/>
      <c r="H122" s="390"/>
      <c r="I122" s="390"/>
      <c r="J122" s="390"/>
      <c r="K122" s="390"/>
      <c r="L122" s="418">
        <v>142349.66999999998</v>
      </c>
      <c r="M122" s="390"/>
      <c r="N122" s="393">
        <f t="shared" si="9"/>
        <v>293139.59548139729</v>
      </c>
    </row>
    <row r="123" spans="1:14" hidden="1" outlineLevel="1">
      <c r="B123" s="419">
        <v>45159</v>
      </c>
      <c r="C123" s="388"/>
      <c r="D123" s="389"/>
      <c r="E123" s="389"/>
      <c r="F123" s="390"/>
      <c r="G123" s="390"/>
      <c r="H123" s="390"/>
      <c r="I123" s="390"/>
      <c r="J123" s="390"/>
      <c r="K123" s="390"/>
      <c r="L123" s="390">
        <v>206599.85999999996</v>
      </c>
      <c r="M123" s="390"/>
      <c r="N123" s="393">
        <f t="shared" si="9"/>
        <v>86539.735481397336</v>
      </c>
    </row>
    <row r="124" spans="1:14" hidden="1" outlineLevel="1">
      <c r="B124" s="419">
        <v>45163</v>
      </c>
      <c r="C124" s="388"/>
      <c r="D124" s="389"/>
      <c r="E124" s="389"/>
      <c r="F124" s="390"/>
      <c r="G124" s="390"/>
      <c r="H124" s="390"/>
      <c r="I124" s="390"/>
      <c r="J124" s="390"/>
      <c r="K124" s="390"/>
      <c r="L124" s="39">
        <v>12.6</v>
      </c>
      <c r="M124" s="390"/>
      <c r="N124" s="393">
        <f t="shared" si="9"/>
        <v>86527.13548139733</v>
      </c>
    </row>
    <row r="125" spans="1:14" hidden="1" outlineLevel="1" collapsed="1">
      <c r="B125" s="429"/>
      <c r="C125" s="430"/>
      <c r="D125" s="430"/>
      <c r="E125" s="430"/>
      <c r="F125" s="446"/>
      <c r="G125" s="446"/>
      <c r="H125" s="447"/>
      <c r="I125" s="447"/>
      <c r="J125" s="447"/>
      <c r="K125" s="446"/>
      <c r="L125" s="448"/>
      <c r="M125" s="449"/>
      <c r="N125" s="450">
        <f>N124</f>
        <v>86527.13548139733</v>
      </c>
    </row>
    <row r="126" spans="1:14" hidden="1" outlineLevel="1">
      <c r="A126" s="422" t="s">
        <v>862</v>
      </c>
      <c r="B126" s="461">
        <v>45181</v>
      </c>
      <c r="C126" s="388">
        <v>1333.4</v>
      </c>
      <c r="D126" s="389"/>
      <c r="E126" s="389"/>
      <c r="F126" s="462">
        <v>75657</v>
      </c>
      <c r="G126" s="390"/>
      <c r="H126" s="390"/>
      <c r="I126" s="389"/>
      <c r="J126" s="389"/>
      <c r="K126" s="389"/>
      <c r="L126" s="389"/>
      <c r="M126" s="389"/>
      <c r="N126" s="463">
        <f>N125+H126+J126-L126</f>
        <v>86527.13548139733</v>
      </c>
    </row>
    <row r="127" spans="1:14" hidden="1" outlineLevel="1">
      <c r="A127" s="422" t="s">
        <v>863</v>
      </c>
      <c r="B127" s="461">
        <v>45181</v>
      </c>
      <c r="C127" s="388"/>
      <c r="D127" s="421">
        <f>-H127/F127</f>
        <v>7.2780933744099636</v>
      </c>
      <c r="E127" s="35"/>
      <c r="F127" s="39">
        <v>-75631</v>
      </c>
      <c r="G127" s="39"/>
      <c r="H127" s="39">
        <v>550449.48</v>
      </c>
      <c r="I127" s="35"/>
      <c r="J127" s="35"/>
      <c r="K127" s="39">
        <v>26</v>
      </c>
      <c r="L127" s="35"/>
      <c r="M127" s="35"/>
      <c r="N127" s="452">
        <f>N126+H127+J127-L127</f>
        <v>636976.61548139737</v>
      </c>
    </row>
    <row r="128" spans="1:14" hidden="1" outlineLevel="1">
      <c r="A128" s="422"/>
      <c r="B128" s="451">
        <v>45190</v>
      </c>
      <c r="C128" s="35"/>
      <c r="D128" s="35"/>
      <c r="E128" s="35"/>
      <c r="F128" s="35"/>
      <c r="G128" s="35"/>
      <c r="H128" s="35"/>
      <c r="I128" s="35"/>
      <c r="J128" s="35">
        <v>171.1</v>
      </c>
      <c r="K128" s="35"/>
      <c r="L128" s="415">
        <v>86698.240000000224</v>
      </c>
      <c r="M128" s="35"/>
      <c r="N128" s="452">
        <f>N127+H128+J128-L128</f>
        <v>550449.47548139712</v>
      </c>
    </row>
    <row r="129" spans="1:14" hidden="1" outlineLevel="1">
      <c r="B129" s="453"/>
      <c r="C129" s="35"/>
      <c r="D129" s="35"/>
      <c r="E129" s="35"/>
      <c r="F129" s="35"/>
      <c r="G129" s="35"/>
      <c r="H129" s="35"/>
      <c r="I129" s="35"/>
      <c r="J129" s="35"/>
      <c r="K129" s="35"/>
      <c r="L129" s="415">
        <v>229299.16999999984</v>
      </c>
      <c r="M129" s="35"/>
      <c r="N129" s="452">
        <f>N128+H129+J129-L129</f>
        <v>321150.30548139731</v>
      </c>
    </row>
    <row r="130" spans="1:14" ht="14.25" hidden="1" outlineLevel="1" thickBot="1">
      <c r="B130" s="479"/>
      <c r="C130" s="430"/>
      <c r="D130" s="430"/>
      <c r="E130" s="430"/>
      <c r="F130" s="446"/>
      <c r="G130" s="446"/>
      <c r="H130" s="447"/>
      <c r="I130" s="447"/>
      <c r="J130" s="447"/>
      <c r="K130" s="446"/>
      <c r="L130" s="448"/>
      <c r="M130" s="449"/>
      <c r="N130" s="485">
        <f>N129</f>
        <v>321150.30548139731</v>
      </c>
    </row>
    <row r="131" spans="1:14" hidden="1" outlineLevel="1" collapsed="1">
      <c r="A131" s="422" t="s">
        <v>862</v>
      </c>
      <c r="B131" s="486">
        <v>45210</v>
      </c>
      <c r="C131" s="487">
        <v>1348.3</v>
      </c>
      <c r="D131" s="488"/>
      <c r="E131" s="488"/>
      <c r="F131" s="489">
        <v>43883</v>
      </c>
      <c r="G131" s="490"/>
      <c r="H131" s="490"/>
      <c r="I131" s="488"/>
      <c r="J131" s="488"/>
      <c r="K131" s="488"/>
      <c r="L131" s="488"/>
      <c r="M131" s="488"/>
      <c r="N131" s="491">
        <f>N130+H131+J131-L131</f>
        <v>321150.30548139731</v>
      </c>
    </row>
    <row r="132" spans="1:14" hidden="1" outlineLevel="1">
      <c r="A132" s="422"/>
      <c r="B132" s="451">
        <v>45210</v>
      </c>
      <c r="C132" s="480"/>
      <c r="D132" s="421">
        <f>-H132/F132</f>
        <v>7.2769496317577582</v>
      </c>
      <c r="E132" s="35"/>
      <c r="F132" s="39">
        <v>-43857</v>
      </c>
      <c r="G132" s="39"/>
      <c r="H132" s="39">
        <v>319145.18</v>
      </c>
      <c r="I132" s="35"/>
      <c r="J132" s="35"/>
      <c r="K132" s="35">
        <v>26</v>
      </c>
      <c r="L132" s="390"/>
      <c r="M132" s="35"/>
      <c r="N132" s="463">
        <f>N131+H132+J132-L132</f>
        <v>640295.48548139725</v>
      </c>
    </row>
    <row r="133" spans="1:14" hidden="1" outlineLevel="1">
      <c r="A133" s="422"/>
      <c r="B133" s="451">
        <v>45216</v>
      </c>
      <c r="C133" s="35"/>
      <c r="D133" s="35"/>
      <c r="E133" s="35"/>
      <c r="F133" s="39"/>
      <c r="G133" s="39"/>
      <c r="H133" s="39"/>
      <c r="I133" s="35"/>
      <c r="J133" s="35"/>
      <c r="K133" s="35"/>
      <c r="L133" s="390">
        <v>52291.33</v>
      </c>
      <c r="M133" s="35"/>
      <c r="N133" s="463">
        <f>N132+H133+J133-L133</f>
        <v>588004.15548139729</v>
      </c>
    </row>
    <row r="134" spans="1:14" hidden="1" outlineLevel="1">
      <c r="A134" s="422"/>
      <c r="B134" s="451">
        <v>45220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415">
        <v>268858.98000000027</v>
      </c>
      <c r="M134" s="35"/>
      <c r="N134" s="463">
        <f>N133+H134+J134-L134</f>
        <v>319145.17548139702</v>
      </c>
    </row>
    <row r="135" spans="1:14" hidden="1" outlineLevel="1">
      <c r="A135" s="422"/>
      <c r="B135" s="451"/>
      <c r="C135" s="35"/>
      <c r="D135" s="35"/>
      <c r="E135" s="35"/>
      <c r="F135" s="35"/>
      <c r="G135" s="35"/>
      <c r="H135" s="35"/>
      <c r="I135" s="35"/>
      <c r="J135" s="35"/>
      <c r="K135" s="35"/>
      <c r="L135" s="415">
        <v>15604.589999999787</v>
      </c>
      <c r="M135" s="35"/>
      <c r="N135" s="463">
        <f>N134+H135+J135-L135</f>
        <v>303540.58548139723</v>
      </c>
    </row>
    <row r="136" spans="1:14" ht="14.25" hidden="1" outlineLevel="1" thickBot="1">
      <c r="A136" s="422"/>
      <c r="B136" s="454"/>
      <c r="C136" s="455"/>
      <c r="D136" s="455"/>
      <c r="E136" s="455"/>
      <c r="F136" s="456"/>
      <c r="G136" s="456"/>
      <c r="H136" s="457"/>
      <c r="I136" s="457"/>
      <c r="J136" s="457"/>
      <c r="K136" s="456"/>
      <c r="L136" s="458"/>
      <c r="M136" s="459"/>
      <c r="N136" s="460">
        <f>N135</f>
        <v>303540.58548139723</v>
      </c>
    </row>
    <row r="137" spans="1:14" hidden="1" outlineLevel="1" collapsed="1">
      <c r="A137" s="422" t="s">
        <v>862</v>
      </c>
      <c r="B137" s="486">
        <v>45240</v>
      </c>
      <c r="C137" s="364">
        <v>1309</v>
      </c>
      <c r="D137" s="488"/>
      <c r="E137" s="488"/>
      <c r="F137" s="489">
        <v>43008</v>
      </c>
      <c r="G137" s="490"/>
      <c r="H137" s="490"/>
      <c r="I137" s="488"/>
      <c r="J137" s="488"/>
      <c r="K137" s="488"/>
      <c r="L137" s="488"/>
      <c r="M137" s="488"/>
      <c r="N137" s="491">
        <f t="shared" ref="N137:N151" si="10">N136+H137+J137-L137</f>
        <v>303540.58548139723</v>
      </c>
    </row>
    <row r="138" spans="1:14" hidden="1" outlineLevel="1">
      <c r="A138" s="422"/>
      <c r="B138" s="451">
        <v>45243</v>
      </c>
      <c r="C138" s="480"/>
      <c r="D138" s="421">
        <f>-H138/F138</f>
        <v>7.2758657112279561</v>
      </c>
      <c r="E138" s="35"/>
      <c r="F138" s="39">
        <v>-42982</v>
      </c>
      <c r="G138" s="39"/>
      <c r="H138" s="39">
        <v>312731.26</v>
      </c>
      <c r="I138" s="35"/>
      <c r="J138" s="35"/>
      <c r="K138" s="35">
        <v>26</v>
      </c>
      <c r="L138" s="390"/>
      <c r="M138" s="35"/>
      <c r="N138" s="463">
        <f t="shared" si="10"/>
        <v>616271.84548139723</v>
      </c>
    </row>
    <row r="139" spans="1:14" hidden="1" outlineLevel="1">
      <c r="A139" s="422"/>
      <c r="B139" s="451">
        <v>45255</v>
      </c>
      <c r="C139" s="35"/>
      <c r="D139" s="35"/>
      <c r="E139" s="35"/>
      <c r="F139" s="39"/>
      <c r="G139" s="39"/>
      <c r="H139" s="39"/>
      <c r="I139" s="35"/>
      <c r="J139" s="35"/>
      <c r="K139" s="35"/>
      <c r="L139" s="415">
        <v>303540.63474865124</v>
      </c>
      <c r="M139" s="35"/>
      <c r="N139" s="463">
        <f t="shared" si="10"/>
        <v>312731.210732746</v>
      </c>
    </row>
    <row r="140" spans="1:14" hidden="1" outlineLevel="1">
      <c r="A140" s="422"/>
      <c r="B140" s="451">
        <v>45255</v>
      </c>
      <c r="C140" s="35"/>
      <c r="D140" s="35"/>
      <c r="E140" s="35"/>
      <c r="F140" s="35"/>
      <c r="G140" s="35"/>
      <c r="H140" s="35"/>
      <c r="I140" s="35"/>
      <c r="J140" s="35">
        <v>21.39</v>
      </c>
      <c r="K140" s="35"/>
      <c r="L140" s="415">
        <v>29645.105251348788</v>
      </c>
      <c r="M140" s="35"/>
      <c r="N140" s="463">
        <f t="shared" si="10"/>
        <v>283107.4954813972</v>
      </c>
    </row>
    <row r="141" spans="1:14" hidden="1" outlineLevel="1">
      <c r="A141" s="422"/>
      <c r="B141" s="451">
        <v>45256</v>
      </c>
      <c r="C141" s="35"/>
      <c r="D141" s="35"/>
      <c r="E141" s="35"/>
      <c r="F141" s="35"/>
      <c r="G141" s="35"/>
      <c r="H141" s="35"/>
      <c r="I141" s="35"/>
      <c r="J141" s="35">
        <v>469</v>
      </c>
      <c r="K141" s="35"/>
      <c r="L141" s="390"/>
      <c r="M141" s="35"/>
      <c r="N141" s="463">
        <f t="shared" si="10"/>
        <v>283576.4954813972</v>
      </c>
    </row>
    <row r="142" spans="1:14" ht="14.25" hidden="1" outlineLevel="1" thickBot="1">
      <c r="A142" s="422"/>
      <c r="B142" s="454"/>
      <c r="C142" s="455"/>
      <c r="D142" s="455"/>
      <c r="E142" s="455"/>
      <c r="F142" s="456"/>
      <c r="G142" s="456"/>
      <c r="H142" s="457"/>
      <c r="I142" s="457"/>
      <c r="J142" s="457"/>
      <c r="K142" s="456"/>
      <c r="L142" s="458"/>
      <c r="M142" s="459"/>
      <c r="N142" s="460">
        <f>N141</f>
        <v>283576.4954813972</v>
      </c>
    </row>
    <row r="143" spans="1:14" hidden="1" outlineLevel="1" collapsed="1">
      <c r="A143" s="422"/>
      <c r="B143" s="486">
        <v>45268</v>
      </c>
      <c r="C143" s="488"/>
      <c r="D143" s="488"/>
      <c r="E143" s="488"/>
      <c r="F143" s="488"/>
      <c r="G143" s="488"/>
      <c r="H143" s="488"/>
      <c r="I143" s="488"/>
      <c r="J143" s="488"/>
      <c r="K143" s="488"/>
      <c r="L143" s="490">
        <v>157512</v>
      </c>
      <c r="M143" s="488"/>
      <c r="N143" s="491">
        <f t="shared" si="10"/>
        <v>126064.4954813972</v>
      </c>
    </row>
    <row r="144" spans="1:14" hidden="1" outlineLevel="1">
      <c r="A144" s="422" t="s">
        <v>862</v>
      </c>
      <c r="B144" s="451">
        <v>45272</v>
      </c>
      <c r="C144" s="35">
        <v>1307.9000000000001</v>
      </c>
      <c r="D144" s="35"/>
      <c r="E144" s="35"/>
      <c r="F144" s="518">
        <v>39509</v>
      </c>
      <c r="G144" s="35"/>
      <c r="H144" s="35"/>
      <c r="I144" s="35"/>
      <c r="J144" s="35"/>
      <c r="K144" s="35"/>
      <c r="L144" s="390"/>
      <c r="M144" s="35"/>
      <c r="N144" s="463">
        <f t="shared" si="10"/>
        <v>126064.4954813972</v>
      </c>
    </row>
    <row r="145" spans="1:14" hidden="1" outlineLevel="1">
      <c r="A145" s="422"/>
      <c r="B145" s="451">
        <v>45272</v>
      </c>
      <c r="C145" s="480"/>
      <c r="D145" s="421">
        <f>-H145/F145</f>
        <v>7.1613626117569593</v>
      </c>
      <c r="E145" s="35"/>
      <c r="F145" s="39">
        <v>-39483</v>
      </c>
      <c r="G145" s="39"/>
      <c r="H145" s="39">
        <v>282752.08</v>
      </c>
      <c r="I145" s="35"/>
      <c r="J145" s="35"/>
      <c r="K145" s="35">
        <v>26</v>
      </c>
      <c r="L145" s="390"/>
      <c r="M145" s="35"/>
      <c r="N145" s="463">
        <f t="shared" si="10"/>
        <v>408816.57548139722</v>
      </c>
    </row>
    <row r="146" spans="1:14" hidden="1" outlineLevel="1">
      <c r="A146" s="422"/>
      <c r="B146" s="451">
        <v>45281</v>
      </c>
      <c r="C146" s="480"/>
      <c r="D146" s="35"/>
      <c r="E146" s="35"/>
      <c r="F146" s="39"/>
      <c r="G146" s="39"/>
      <c r="H146" s="39"/>
      <c r="I146" s="35"/>
      <c r="J146" s="35">
        <v>338.95</v>
      </c>
      <c r="K146" s="35"/>
      <c r="L146" s="390"/>
      <c r="M146" s="35"/>
      <c r="N146" s="463">
        <f t="shared" si="10"/>
        <v>409155.52548139723</v>
      </c>
    </row>
    <row r="147" spans="1:14" hidden="1" outlineLevel="1">
      <c r="A147" s="422"/>
      <c r="B147" s="451">
        <v>45283</v>
      </c>
      <c r="C147" s="35"/>
      <c r="D147" s="35"/>
      <c r="E147" s="35"/>
      <c r="F147" s="39"/>
      <c r="G147" s="39"/>
      <c r="H147" s="39"/>
      <c r="I147" s="35"/>
      <c r="J147" s="35"/>
      <c r="K147" s="35"/>
      <c r="L147" s="415">
        <v>126422.28322895015</v>
      </c>
      <c r="M147" s="35"/>
      <c r="N147" s="463">
        <f t="shared" si="10"/>
        <v>282733.24225244706</v>
      </c>
    </row>
    <row r="148" spans="1:14" hidden="1" outlineLevel="1">
      <c r="A148" s="422"/>
      <c r="B148" s="451">
        <v>45283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415">
        <v>179040.79677104988</v>
      </c>
      <c r="M148" s="35"/>
      <c r="N148" s="463">
        <f t="shared" si="10"/>
        <v>103692.44548139718</v>
      </c>
    </row>
    <row r="149" spans="1:14" hidden="1" outlineLevel="1">
      <c r="A149" s="422"/>
      <c r="B149" s="451">
        <v>45286</v>
      </c>
      <c r="C149" s="35"/>
      <c r="D149" s="35"/>
      <c r="E149" s="35"/>
      <c r="F149" s="35"/>
      <c r="G149" s="35"/>
      <c r="H149" s="35"/>
      <c r="I149" s="35"/>
      <c r="J149" s="518">
        <v>50000</v>
      </c>
      <c r="K149" s="35"/>
      <c r="L149" s="390">
        <v>50007.199999999997</v>
      </c>
      <c r="M149" s="35"/>
      <c r="N149" s="463">
        <f t="shared" si="10"/>
        <v>103685.24548139719</v>
      </c>
    </row>
    <row r="150" spans="1:14" hidden="1" outlineLevel="1">
      <c r="A150" s="422"/>
      <c r="B150" s="451">
        <v>45287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90">
        <v>3609.2</v>
      </c>
      <c r="M150" s="35"/>
      <c r="N150" s="463">
        <f t="shared" si="10"/>
        <v>100076.04548139719</v>
      </c>
    </row>
    <row r="151" spans="1:14" hidden="1" outlineLevel="1">
      <c r="A151" s="422"/>
      <c r="B151" s="507">
        <v>45288</v>
      </c>
      <c r="C151" s="228"/>
      <c r="D151" s="228"/>
      <c r="E151" s="228"/>
      <c r="F151" s="228"/>
      <c r="G151" s="228"/>
      <c r="H151" s="228"/>
      <c r="I151" s="228"/>
      <c r="J151" s="228"/>
      <c r="K151" s="228"/>
      <c r="L151" s="508">
        <v>30123.86</v>
      </c>
      <c r="M151" s="228"/>
      <c r="N151" s="509">
        <f t="shared" si="10"/>
        <v>69952.185481397188</v>
      </c>
    </row>
    <row r="152" spans="1:14" ht="14.25" hidden="1" outlineLevel="1" thickBot="1">
      <c r="A152" s="422"/>
      <c r="B152" s="510"/>
      <c r="C152" s="511"/>
      <c r="D152" s="511"/>
      <c r="E152" s="511"/>
      <c r="F152" s="512"/>
      <c r="G152" s="512"/>
      <c r="H152" s="513"/>
      <c r="I152" s="513"/>
      <c r="J152" s="513"/>
      <c r="K152" s="512"/>
      <c r="L152" s="514"/>
      <c r="M152" s="515"/>
      <c r="N152" s="460">
        <f>N151</f>
        <v>69952.185481397188</v>
      </c>
    </row>
    <row r="153" spans="1:14" hidden="1" outlineLevel="1" collapsed="1">
      <c r="A153" s="422" t="s">
        <v>862</v>
      </c>
      <c r="B153" s="451">
        <v>45302</v>
      </c>
      <c r="C153" s="364">
        <v>1312.1</v>
      </c>
      <c r="D153" s="35"/>
      <c r="E153" s="289"/>
      <c r="F153" s="676">
        <v>53932</v>
      </c>
      <c r="G153" s="35"/>
      <c r="H153" s="35"/>
      <c r="I153" s="35"/>
      <c r="J153" s="35"/>
      <c r="K153" s="35"/>
      <c r="L153" s="390"/>
      <c r="M153" s="35"/>
      <c r="N153" s="463">
        <f t="shared" ref="N153:N158" si="11">N152+H153+J153-L153</f>
        <v>69952.185481397188</v>
      </c>
    </row>
    <row r="154" spans="1:14" hidden="1" outlineLevel="1">
      <c r="A154" s="422"/>
      <c r="B154" s="451"/>
      <c r="C154" s="480"/>
      <c r="D154" s="421">
        <f>-H154/F154</f>
        <v>7.1452847549437903</v>
      </c>
      <c r="E154" s="35"/>
      <c r="F154" s="39">
        <v>-53906</v>
      </c>
      <c r="G154" s="39"/>
      <c r="H154" s="39">
        <v>385173.72</v>
      </c>
      <c r="I154" s="35"/>
      <c r="J154" s="35"/>
      <c r="K154" s="35">
        <v>26</v>
      </c>
      <c r="L154" s="390"/>
      <c r="M154" s="35"/>
      <c r="N154" s="463">
        <f t="shared" si="11"/>
        <v>455125.90548139717</v>
      </c>
    </row>
    <row r="155" spans="1:14" hidden="1" outlineLevel="1">
      <c r="A155" s="422"/>
      <c r="B155" s="451">
        <v>45303</v>
      </c>
      <c r="C155" s="480"/>
      <c r="D155" s="35"/>
      <c r="E155" s="35"/>
      <c r="F155" s="39"/>
      <c r="G155" s="39"/>
      <c r="H155" s="39"/>
      <c r="I155" s="35"/>
      <c r="J155" s="35"/>
      <c r="K155" s="35"/>
      <c r="L155" s="390">
        <v>49141.51</v>
      </c>
      <c r="M155" s="35"/>
      <c r="N155" s="463">
        <f t="shared" si="11"/>
        <v>405984.39548139716</v>
      </c>
    </row>
    <row r="156" spans="1:14" hidden="1" outlineLevel="1">
      <c r="A156" s="422"/>
      <c r="B156" s="451">
        <v>45309</v>
      </c>
      <c r="C156" s="35"/>
      <c r="D156" s="35"/>
      <c r="E156" s="35"/>
      <c r="F156" s="39"/>
      <c r="G156" s="39"/>
      <c r="H156" s="39"/>
      <c r="I156" s="35"/>
      <c r="J156" s="35"/>
      <c r="K156" s="35"/>
      <c r="L156" s="390">
        <v>7.2</v>
      </c>
      <c r="M156" s="35"/>
      <c r="N156" s="463">
        <f t="shared" si="11"/>
        <v>405977.19548139715</v>
      </c>
    </row>
    <row r="157" spans="1:14" hidden="1" outlineLevel="1">
      <c r="A157" s="422"/>
      <c r="B157" s="451">
        <v>45312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415">
        <v>20822.314375310889</v>
      </c>
      <c r="M157" s="35"/>
      <c r="N157" s="463">
        <f t="shared" si="11"/>
        <v>385154.88110608625</v>
      </c>
    </row>
    <row r="158" spans="1:14" hidden="1" outlineLevel="1">
      <c r="A158" s="422"/>
      <c r="B158" s="451">
        <v>45312</v>
      </c>
      <c r="C158" s="35"/>
      <c r="D158" s="35"/>
      <c r="E158" s="35"/>
      <c r="F158" s="35"/>
      <c r="G158" s="35"/>
      <c r="H158" s="35"/>
      <c r="I158" s="35"/>
      <c r="J158" s="518"/>
      <c r="K158" s="35"/>
      <c r="L158" s="415">
        <v>339288.09562468913</v>
      </c>
      <c r="M158" s="35"/>
      <c r="N158" s="463">
        <f t="shared" si="11"/>
        <v>45866.785481397121</v>
      </c>
    </row>
    <row r="159" spans="1:14" ht="14.25" hidden="1" outlineLevel="1" thickBot="1">
      <c r="A159" s="422"/>
      <c r="B159" s="510"/>
      <c r="C159" s="511"/>
      <c r="D159" s="511"/>
      <c r="E159" s="511"/>
      <c r="F159" s="512"/>
      <c r="G159" s="512"/>
      <c r="H159" s="513"/>
      <c r="I159" s="513"/>
      <c r="J159" s="513"/>
      <c r="K159" s="512"/>
      <c r="L159" s="514"/>
      <c r="M159" s="515"/>
      <c r="N159" s="460">
        <f>N158</f>
        <v>45866.785481397121</v>
      </c>
    </row>
    <row r="160" spans="1:14" hidden="1" outlineLevel="1" collapsed="1">
      <c r="A160" s="422" t="s">
        <v>862</v>
      </c>
      <c r="B160" s="451">
        <v>45342</v>
      </c>
      <c r="C160" s="364">
        <v>1327.2</v>
      </c>
      <c r="D160" s="35"/>
      <c r="E160" s="35"/>
      <c r="F160" s="676">
        <v>51019</v>
      </c>
      <c r="G160" s="35"/>
      <c r="H160" s="35"/>
      <c r="I160" s="35"/>
      <c r="J160" s="35"/>
      <c r="K160" s="35"/>
      <c r="L160" s="390"/>
      <c r="M160" s="35"/>
      <c r="N160" s="463">
        <f>N159+H160+J160-L160</f>
        <v>45866.785481397121</v>
      </c>
    </row>
    <row r="161" spans="1:14" hidden="1" outlineLevel="1">
      <c r="A161" s="422"/>
      <c r="B161" s="451"/>
      <c r="C161" s="480"/>
      <c r="D161" s="421">
        <f>-H161/F161</f>
        <v>7.1807777538093465</v>
      </c>
      <c r="E161" s="35"/>
      <c r="F161" s="39">
        <v>-50993</v>
      </c>
      <c r="G161" s="39"/>
      <c r="H161" s="39">
        <v>366169.4</v>
      </c>
      <c r="I161" s="35"/>
      <c r="J161" s="35"/>
      <c r="K161" s="35">
        <v>26</v>
      </c>
      <c r="L161" s="390"/>
      <c r="M161" s="35"/>
      <c r="N161" s="463">
        <f>N160+H161+J161-L161</f>
        <v>412036.18548139714</v>
      </c>
    </row>
    <row r="162" spans="1:14" hidden="1" outlineLevel="1">
      <c r="A162" s="422"/>
      <c r="B162" s="451">
        <v>45342</v>
      </c>
      <c r="C162" s="480"/>
      <c r="D162" s="35"/>
      <c r="E162" s="35"/>
      <c r="F162" s="39"/>
      <c r="G162" s="39"/>
      <c r="H162" s="39"/>
      <c r="I162" s="35"/>
      <c r="J162" s="35"/>
      <c r="K162" s="35"/>
      <c r="L162" s="415">
        <v>45885.589639298028</v>
      </c>
      <c r="M162" s="35"/>
      <c r="N162" s="463">
        <f>N161+H162+J162-L162</f>
        <v>366150.59584209911</v>
      </c>
    </row>
    <row r="163" spans="1:14" hidden="1" outlineLevel="1">
      <c r="A163" s="422"/>
      <c r="B163" s="451">
        <v>45342</v>
      </c>
      <c r="C163" s="35"/>
      <c r="D163" s="35"/>
      <c r="E163" s="35"/>
      <c r="F163" s="35"/>
      <c r="G163" s="35"/>
      <c r="H163" s="35"/>
      <c r="I163" s="35"/>
      <c r="J163" s="35"/>
      <c r="K163" s="35"/>
      <c r="L163" s="415">
        <v>275772.14</v>
      </c>
      <c r="M163" s="35"/>
      <c r="N163" s="463">
        <f>N162+H163+J163-L163</f>
        <v>90378.455842099094</v>
      </c>
    </row>
    <row r="164" spans="1:14" ht="14.25" hidden="1" outlineLevel="1" thickBot="1">
      <c r="A164" s="422"/>
      <c r="B164" s="510"/>
      <c r="C164" s="511"/>
      <c r="D164" s="511"/>
      <c r="E164" s="511"/>
      <c r="F164" s="512"/>
      <c r="G164" s="512"/>
      <c r="H164" s="513"/>
      <c r="I164" s="513"/>
      <c r="J164" s="513"/>
      <c r="K164" s="512"/>
      <c r="L164" s="514"/>
      <c r="M164" s="515"/>
      <c r="N164" s="460">
        <f>N163</f>
        <v>90378.455842099094</v>
      </c>
    </row>
    <row r="165" spans="1:14" hidden="1" outlineLevel="1" collapsed="1">
      <c r="A165" s="422" t="s">
        <v>862</v>
      </c>
      <c r="B165" s="451">
        <v>45363</v>
      </c>
      <c r="C165" s="364">
        <v>1323.1</v>
      </c>
      <c r="D165" s="35"/>
      <c r="E165" s="35"/>
      <c r="F165" s="676">
        <v>53588</v>
      </c>
      <c r="G165" s="35"/>
      <c r="H165" s="35"/>
      <c r="I165" s="35"/>
      <c r="J165" s="35"/>
      <c r="K165" s="35"/>
      <c r="L165" s="390"/>
      <c r="M165" s="35"/>
      <c r="N165" s="463">
        <f>N164+H165+J165-L165</f>
        <v>90378.455842099094</v>
      </c>
    </row>
    <row r="166" spans="1:14" hidden="1" outlineLevel="1">
      <c r="A166" s="422"/>
      <c r="B166" s="451"/>
      <c r="C166" s="480"/>
      <c r="D166" s="421">
        <f>-H166/F166</f>
        <v>7.161755722340466</v>
      </c>
      <c r="E166" s="35"/>
      <c r="F166" s="39">
        <v>-53562</v>
      </c>
      <c r="G166" s="39"/>
      <c r="H166" s="39">
        <v>383597.96</v>
      </c>
      <c r="I166" s="792"/>
      <c r="J166" s="35"/>
      <c r="K166" s="35">
        <v>26</v>
      </c>
      <c r="L166" s="390"/>
      <c r="M166" s="35"/>
      <c r="N166" s="463">
        <f t="shared" ref="N166:N176" si="12">N165+H166+J166-L166</f>
        <v>473976.41584209912</v>
      </c>
    </row>
    <row r="167" spans="1:14" hidden="1" outlineLevel="1">
      <c r="A167" s="422"/>
      <c r="B167" s="451"/>
      <c r="C167" s="480" t="s">
        <v>1279</v>
      </c>
      <c r="D167" s="907">
        <f>-H167/F167</f>
        <v>7.1651000242822729</v>
      </c>
      <c r="E167" s="35"/>
      <c r="F167" s="906">
        <v>-53537</v>
      </c>
      <c r="G167" s="39"/>
      <c r="H167" s="39">
        <v>383597.96</v>
      </c>
      <c r="I167" s="792"/>
      <c r="J167" s="35"/>
      <c r="K167" s="35"/>
      <c r="L167" s="390"/>
      <c r="M167" s="35"/>
      <c r="N167" s="463"/>
    </row>
    <row r="168" spans="1:14" hidden="1" outlineLevel="1">
      <c r="A168" s="422"/>
      <c r="B168" s="451">
        <v>45365</v>
      </c>
      <c r="C168" s="480"/>
      <c r="D168" s="35"/>
      <c r="E168" s="35"/>
      <c r="F168" s="39"/>
      <c r="G168" s="39"/>
      <c r="H168" s="39"/>
      <c r="I168" s="35"/>
      <c r="J168" s="35"/>
      <c r="K168" s="35"/>
      <c r="L168" s="390">
        <v>140</v>
      </c>
      <c r="M168" s="35"/>
      <c r="N168" s="463">
        <f>N166+H168+J168-L168</f>
        <v>473836.41584209912</v>
      </c>
    </row>
    <row r="169" spans="1:14" hidden="1" outlineLevel="1">
      <c r="A169" s="422"/>
      <c r="B169" s="451">
        <v>45366</v>
      </c>
      <c r="C169" s="480">
        <v>1234.5</v>
      </c>
      <c r="D169" s="421">
        <f>J169/I169</f>
        <v>6.3620426398235592</v>
      </c>
      <c r="E169" s="35"/>
      <c r="F169" s="39"/>
      <c r="G169" s="39"/>
      <c r="H169" s="39"/>
      <c r="I169" s="35">
        <v>5658.56</v>
      </c>
      <c r="J169" s="35">
        <v>36000</v>
      </c>
      <c r="K169" s="35"/>
      <c r="L169" s="390"/>
      <c r="M169" s="35"/>
      <c r="N169" s="463">
        <f>N168+H169+J169-L169</f>
        <v>509836.41584209912</v>
      </c>
    </row>
    <row r="170" spans="1:14" hidden="1" outlineLevel="1">
      <c r="A170" s="422"/>
      <c r="B170" s="451">
        <v>45366</v>
      </c>
      <c r="C170" s="480"/>
      <c r="D170" s="35"/>
      <c r="E170" s="35"/>
      <c r="F170" s="39"/>
      <c r="G170" s="39"/>
      <c r="H170" s="39"/>
      <c r="I170" s="35"/>
      <c r="K170" s="35"/>
      <c r="L170" s="390">
        <v>84295.4</v>
      </c>
      <c r="M170" s="35"/>
      <c r="N170" s="463">
        <f t="shared" si="12"/>
        <v>425541.01584209909</v>
      </c>
    </row>
    <row r="171" spans="1:14" hidden="1" outlineLevel="1">
      <c r="A171" s="422"/>
      <c r="B171" s="451">
        <v>45372</v>
      </c>
      <c r="C171" s="480"/>
      <c r="D171" s="35"/>
      <c r="E171" s="35"/>
      <c r="F171" s="39"/>
      <c r="G171" s="39"/>
      <c r="H171" s="39"/>
      <c r="I171" s="35"/>
      <c r="J171" s="35">
        <v>132.35</v>
      </c>
      <c r="K171" s="35"/>
      <c r="L171" s="390"/>
      <c r="M171" s="35"/>
      <c r="N171" s="463">
        <f t="shared" si="12"/>
        <v>425673.36584209907</v>
      </c>
    </row>
    <row r="172" spans="1:14" hidden="1" outlineLevel="1">
      <c r="A172" s="422"/>
      <c r="B172" s="451">
        <v>45373</v>
      </c>
      <c r="C172" s="480"/>
      <c r="D172" s="35"/>
      <c r="E172" s="35"/>
      <c r="F172" s="39"/>
      <c r="G172" s="39"/>
      <c r="H172" s="39"/>
      <c r="I172" s="35"/>
      <c r="J172" s="35"/>
      <c r="K172" s="35"/>
      <c r="L172" s="415">
        <v>6094.0728020850838</v>
      </c>
      <c r="M172" s="35"/>
      <c r="N172" s="463">
        <f t="shared" si="12"/>
        <v>419579.29304001399</v>
      </c>
    </row>
    <row r="173" spans="1:14" hidden="1" outlineLevel="1">
      <c r="A173" s="422"/>
      <c r="B173" s="451">
        <v>45373</v>
      </c>
      <c r="C173" s="480"/>
      <c r="D173" s="35"/>
      <c r="E173" s="35"/>
      <c r="F173" s="39"/>
      <c r="G173" s="39"/>
      <c r="H173" s="39"/>
      <c r="I173" s="35"/>
      <c r="J173" s="35"/>
      <c r="K173" s="35"/>
      <c r="L173" s="415">
        <v>36000</v>
      </c>
      <c r="M173" s="35"/>
      <c r="N173" s="463">
        <f t="shared" si="12"/>
        <v>383579.29304001399</v>
      </c>
    </row>
    <row r="174" spans="1:14" hidden="1" outlineLevel="1">
      <c r="A174" s="422"/>
      <c r="B174" s="451">
        <v>45373</v>
      </c>
      <c r="C174" s="480"/>
      <c r="D174" s="35"/>
      <c r="E174" s="35"/>
      <c r="F174" s="39"/>
      <c r="G174" s="39"/>
      <c r="H174" s="39"/>
      <c r="I174" s="35"/>
      <c r="J174" s="35"/>
      <c r="K174" s="35"/>
      <c r="L174" s="415">
        <v>230867.56719791496</v>
      </c>
      <c r="M174" s="35"/>
      <c r="N174" s="463">
        <f t="shared" si="12"/>
        <v>152711.72584209903</v>
      </c>
    </row>
    <row r="175" spans="1:14" hidden="1" outlineLevel="1">
      <c r="A175" s="422"/>
      <c r="B175" s="451">
        <v>45376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90">
        <v>17150.850000000002</v>
      </c>
      <c r="M175" s="35"/>
      <c r="N175" s="463">
        <f t="shared" si="12"/>
        <v>135560.87584209902</v>
      </c>
    </row>
    <row r="176" spans="1:14" hidden="1" outlineLevel="1">
      <c r="A176" s="422"/>
      <c r="B176" s="451">
        <v>45378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90">
        <v>3.6</v>
      </c>
      <c r="M176" s="35"/>
      <c r="N176" s="463">
        <f t="shared" si="12"/>
        <v>135557.27584209901</v>
      </c>
    </row>
    <row r="177" spans="1:14" ht="14.25" hidden="1" outlineLevel="1" collapsed="1" thickBot="1">
      <c r="A177" s="422"/>
      <c r="B177" s="510"/>
      <c r="C177" s="511"/>
      <c r="D177" s="511"/>
      <c r="E177" s="511"/>
      <c r="F177" s="512"/>
      <c r="G177" s="512"/>
      <c r="H177" s="513"/>
      <c r="I177" s="513"/>
      <c r="J177" s="513"/>
      <c r="K177" s="512"/>
      <c r="L177" s="514"/>
      <c r="M177" s="515"/>
      <c r="N177" s="460">
        <f>N176</f>
        <v>135557.27584209901</v>
      </c>
    </row>
    <row r="178" spans="1:14" hidden="1" outlineLevel="1" collapsed="1">
      <c r="A178" s="422" t="s">
        <v>862</v>
      </c>
      <c r="B178" s="451">
        <v>45378</v>
      </c>
      <c r="C178" s="364"/>
      <c r="D178" s="35"/>
      <c r="E178" s="35"/>
      <c r="F178" s="676"/>
      <c r="G178" s="35"/>
      <c r="H178" s="35"/>
      <c r="I178" s="35"/>
      <c r="J178" s="35"/>
      <c r="K178" s="35"/>
      <c r="L178" s="390">
        <v>1603.6</v>
      </c>
      <c r="M178" s="35"/>
      <c r="N178" s="463">
        <f>N177+H178+J178-L178</f>
        <v>133953.67584209901</v>
      </c>
    </row>
    <row r="179" spans="1:14" hidden="1" outlineLevel="1">
      <c r="A179" s="422"/>
      <c r="B179" s="451">
        <v>45394</v>
      </c>
      <c r="C179" s="480">
        <v>1354.4</v>
      </c>
      <c r="D179" s="35"/>
      <c r="E179" s="35"/>
      <c r="F179" s="39">
        <v>63837</v>
      </c>
      <c r="G179" s="39"/>
      <c r="H179" s="39"/>
      <c r="I179" s="792"/>
      <c r="J179" s="35"/>
      <c r="K179" s="35"/>
      <c r="L179" s="390"/>
      <c r="M179" s="35"/>
      <c r="N179" s="463">
        <f t="shared" ref="N179:N185" si="13">N178+H179+J179-L179</f>
        <v>133953.67584209901</v>
      </c>
    </row>
    <row r="180" spans="1:14" hidden="1" outlineLevel="1">
      <c r="A180" s="422"/>
      <c r="B180" s="451"/>
      <c r="C180" s="480"/>
      <c r="D180" s="421">
        <f>-H180/F180</f>
        <v>7.2237000282193584</v>
      </c>
      <c r="E180" s="35"/>
      <c r="F180" s="39">
        <v>-63786</v>
      </c>
      <c r="G180" s="39"/>
      <c r="H180" s="39">
        <v>460770.93</v>
      </c>
      <c r="I180" s="35"/>
      <c r="J180" s="35"/>
      <c r="K180" s="35">
        <v>51</v>
      </c>
      <c r="L180" s="390"/>
      <c r="M180" s="35"/>
      <c r="N180" s="463">
        <f t="shared" si="13"/>
        <v>594724.60584209906</v>
      </c>
    </row>
    <row r="181" spans="1:14" hidden="1" outlineLevel="1">
      <c r="A181" s="422"/>
      <c r="B181" s="451">
        <v>45394</v>
      </c>
      <c r="C181" s="480"/>
      <c r="D181" s="35"/>
      <c r="E181" s="35"/>
      <c r="F181" s="39"/>
      <c r="G181" s="39"/>
      <c r="H181" s="39"/>
      <c r="I181" s="35"/>
      <c r="J181" s="35"/>
      <c r="K181" s="35"/>
      <c r="L181" s="390">
        <v>24304.2</v>
      </c>
      <c r="M181" s="35"/>
      <c r="N181" s="463">
        <f t="shared" si="13"/>
        <v>570420.40584209911</v>
      </c>
    </row>
    <row r="182" spans="1:14" hidden="1" outlineLevel="1">
      <c r="A182" s="422"/>
      <c r="B182" s="451">
        <v>45399</v>
      </c>
      <c r="C182" s="480"/>
      <c r="D182" s="35"/>
      <c r="E182" s="35"/>
      <c r="F182" s="39"/>
      <c r="G182" s="39"/>
      <c r="H182" s="39"/>
      <c r="I182" s="35"/>
      <c r="J182" s="35"/>
      <c r="K182" s="35"/>
      <c r="L182" s="390">
        <v>44555.76</v>
      </c>
      <c r="M182" s="35"/>
      <c r="N182" s="463">
        <f t="shared" si="13"/>
        <v>525864.6458420991</v>
      </c>
    </row>
    <row r="183" spans="1:14" hidden="1" outlineLevel="1">
      <c r="A183" s="422"/>
      <c r="B183" s="451">
        <v>45405</v>
      </c>
      <c r="C183" s="480"/>
      <c r="D183" s="35"/>
      <c r="E183" s="35"/>
      <c r="F183" s="39"/>
      <c r="G183" s="39"/>
      <c r="H183" s="39"/>
      <c r="I183" s="35"/>
      <c r="K183" s="35"/>
      <c r="L183" s="415">
        <v>65093.71999999979</v>
      </c>
      <c r="M183" s="35"/>
      <c r="N183" s="463">
        <f t="shared" si="13"/>
        <v>460770.9258420993</v>
      </c>
    </row>
    <row r="184" spans="1:14" hidden="1" outlineLevel="1">
      <c r="A184" s="422"/>
      <c r="B184" s="451">
        <v>45405</v>
      </c>
      <c r="C184" s="480"/>
      <c r="D184" s="35"/>
      <c r="E184" s="35"/>
      <c r="F184" s="39"/>
      <c r="G184" s="39"/>
      <c r="H184" s="39"/>
      <c r="I184" s="35"/>
      <c r="J184" s="35"/>
      <c r="K184" s="35"/>
      <c r="L184" s="415">
        <v>297829.29000000027</v>
      </c>
      <c r="M184" s="35"/>
      <c r="N184" s="463">
        <f t="shared" si="13"/>
        <v>162941.63584209903</v>
      </c>
    </row>
    <row r="185" spans="1:14" hidden="1" outlineLevel="1">
      <c r="A185" s="422"/>
      <c r="B185" s="451">
        <v>45406</v>
      </c>
      <c r="C185" s="480"/>
      <c r="D185" s="35"/>
      <c r="E185" s="35"/>
      <c r="F185" s="39"/>
      <c r="G185" s="39"/>
      <c r="H185" s="39"/>
      <c r="I185" s="35"/>
      <c r="J185" s="35"/>
      <c r="K185" s="35"/>
      <c r="L185" s="390">
        <v>14720.310000000001</v>
      </c>
      <c r="M185" s="35"/>
      <c r="N185" s="463">
        <f t="shared" si="13"/>
        <v>148221.32584209903</v>
      </c>
    </row>
    <row r="186" spans="1:14" ht="14.25" hidden="1" outlineLevel="1" collapsed="1" thickBot="1">
      <c r="A186" s="422"/>
      <c r="B186" s="510"/>
      <c r="C186" s="511"/>
      <c r="D186" s="511"/>
      <c r="E186" s="511"/>
      <c r="F186" s="512"/>
      <c r="G186" s="512"/>
      <c r="H186" s="513"/>
      <c r="I186" s="513"/>
      <c r="J186" s="513"/>
      <c r="K186" s="512"/>
      <c r="L186" s="514"/>
      <c r="M186" s="515"/>
      <c r="N186" s="872">
        <f>N185</f>
        <v>148221.32584209903</v>
      </c>
    </row>
    <row r="187" spans="1:14" hidden="1" outlineLevel="1">
      <c r="A187" s="422"/>
      <c r="B187" s="451">
        <v>45424</v>
      </c>
      <c r="C187" s="39">
        <v>1367.9</v>
      </c>
      <c r="D187" s="35"/>
      <c r="E187" s="35"/>
      <c r="F187" s="39">
        <v>41566</v>
      </c>
      <c r="G187" s="39"/>
      <c r="H187" s="39"/>
      <c r="I187" s="792"/>
      <c r="J187" s="35"/>
      <c r="K187" s="35"/>
      <c r="L187" s="390"/>
      <c r="M187" s="35"/>
      <c r="N187" s="463">
        <f>N186+H187+J187-L187</f>
        <v>148221.32584209903</v>
      </c>
    </row>
    <row r="188" spans="1:14" hidden="1" outlineLevel="1">
      <c r="A188" s="422"/>
      <c r="B188" s="451">
        <v>45424</v>
      </c>
      <c r="C188" s="480"/>
      <c r="D188" s="421">
        <f>-H188/F188</f>
        <v>7.22130001204384</v>
      </c>
      <c r="E188" s="35"/>
      <c r="F188" s="39">
        <v>-41515</v>
      </c>
      <c r="G188" s="39"/>
      <c r="H188" s="39">
        <v>299792.27</v>
      </c>
      <c r="I188" s="35"/>
      <c r="J188" s="35"/>
      <c r="K188" s="35">
        <v>51</v>
      </c>
      <c r="L188" s="390"/>
      <c r="M188" s="35"/>
      <c r="N188" s="463">
        <f>N187+H188+J188-L188</f>
        <v>448013.59584209905</v>
      </c>
    </row>
    <row r="189" spans="1:14" hidden="1" outlineLevel="1">
      <c r="A189" s="422"/>
      <c r="B189" s="451">
        <v>45427</v>
      </c>
      <c r="C189" s="480"/>
      <c r="D189" s="35"/>
      <c r="E189" s="35"/>
      <c r="F189" s="39"/>
      <c r="G189" s="39"/>
      <c r="H189" s="39"/>
      <c r="I189" s="35"/>
      <c r="J189" s="35"/>
      <c r="K189" s="35"/>
      <c r="L189" s="390">
        <v>24591.200000000001</v>
      </c>
      <c r="M189" s="35"/>
      <c r="N189" s="463">
        <f>N188+H189+J189-L189</f>
        <v>423422.39584209904</v>
      </c>
    </row>
    <row r="190" spans="1:14" hidden="1" outlineLevel="1">
      <c r="A190" s="422"/>
      <c r="B190" s="451">
        <v>45434</v>
      </c>
      <c r="C190" s="480"/>
      <c r="D190" s="35"/>
      <c r="E190" s="35"/>
      <c r="F190" s="39"/>
      <c r="G190" s="39"/>
      <c r="H190" s="39"/>
      <c r="I190" s="35"/>
      <c r="J190" s="35"/>
      <c r="K190" s="35"/>
      <c r="L190" s="415">
        <v>123630.17</v>
      </c>
      <c r="M190" s="35"/>
      <c r="N190" s="463">
        <f>N189+H190+J190-L190</f>
        <v>299792.22584209905</v>
      </c>
    </row>
    <row r="191" spans="1:14" hidden="1" outlineLevel="1">
      <c r="A191" s="422"/>
      <c r="B191" s="451">
        <v>45434</v>
      </c>
      <c r="C191" s="480"/>
      <c r="D191" s="35"/>
      <c r="E191" s="35"/>
      <c r="F191" s="39"/>
      <c r="G191" s="39"/>
      <c r="H191" s="39"/>
      <c r="I191" s="35"/>
      <c r="K191" s="35"/>
      <c r="L191" s="415">
        <v>170325.49</v>
      </c>
      <c r="M191" s="35"/>
      <c r="N191" s="463">
        <f>N190+H191+J191-L191</f>
        <v>129466.73584209906</v>
      </c>
    </row>
    <row r="192" spans="1:14" ht="14.25" hidden="1" outlineLevel="1" thickBot="1">
      <c r="A192" s="422"/>
      <c r="B192" s="510"/>
      <c r="C192" s="511"/>
      <c r="D192" s="511"/>
      <c r="E192" s="511"/>
      <c r="F192" s="512"/>
      <c r="G192" s="512"/>
      <c r="H192" s="513"/>
      <c r="I192" s="513"/>
      <c r="J192" s="513"/>
      <c r="K192" s="512"/>
      <c r="L192" s="514"/>
      <c r="M192" s="515"/>
      <c r="N192" s="872">
        <f>N191</f>
        <v>129466.73584209906</v>
      </c>
    </row>
    <row r="193" spans="1:14" hidden="1" outlineLevel="1" collapsed="1">
      <c r="A193" s="422"/>
      <c r="B193" s="451">
        <v>45455</v>
      </c>
      <c r="C193" s="39">
        <v>1366.9</v>
      </c>
      <c r="D193" s="35"/>
      <c r="E193" s="35"/>
      <c r="F193" s="364">
        <v>41207</v>
      </c>
      <c r="G193" s="39"/>
      <c r="H193" s="39"/>
      <c r="I193" s="792"/>
      <c r="J193" s="35"/>
      <c r="K193" s="35"/>
      <c r="L193" s="390"/>
      <c r="M193" s="35"/>
      <c r="N193" s="463">
        <f t="shared" ref="N193:N198" si="14">N192+H193+J193-L193</f>
        <v>129466.73584209906</v>
      </c>
    </row>
    <row r="194" spans="1:14" hidden="1" outlineLevel="1">
      <c r="A194" s="422"/>
      <c r="B194" s="451"/>
      <c r="C194" s="480"/>
      <c r="D194" s="421">
        <f>-H194/F194</f>
        <v>7.2405999125279425</v>
      </c>
      <c r="E194" s="35"/>
      <c r="F194" s="39">
        <v>-41156</v>
      </c>
      <c r="G194" s="39"/>
      <c r="H194" s="39">
        <v>297994.13</v>
      </c>
      <c r="I194" s="35"/>
      <c r="J194" s="35"/>
      <c r="K194" s="35">
        <v>51</v>
      </c>
      <c r="L194" s="390"/>
      <c r="M194" s="35"/>
      <c r="N194" s="463">
        <f t="shared" si="14"/>
        <v>427460.86584209907</v>
      </c>
    </row>
    <row r="195" spans="1:14" hidden="1" outlineLevel="1">
      <c r="A195" s="422"/>
      <c r="B195" s="451">
        <v>45460</v>
      </c>
      <c r="C195" s="480"/>
      <c r="D195" s="35"/>
      <c r="E195" s="35"/>
      <c r="F195" s="39"/>
      <c r="G195" s="39"/>
      <c r="H195" s="39"/>
      <c r="I195" s="35"/>
      <c r="J195" s="35"/>
      <c r="K195" s="35"/>
      <c r="L195" s="390">
        <v>26091.8</v>
      </c>
      <c r="M195" s="35"/>
      <c r="N195" s="463">
        <f t="shared" si="14"/>
        <v>401369.06584209908</v>
      </c>
    </row>
    <row r="196" spans="1:14" hidden="1" outlineLevel="1">
      <c r="A196" s="422"/>
      <c r="B196" s="451">
        <v>45463</v>
      </c>
      <c r="C196" s="480"/>
      <c r="D196" s="35"/>
      <c r="E196" s="35"/>
      <c r="F196" s="39"/>
      <c r="G196" s="39"/>
      <c r="H196" s="39"/>
      <c r="I196" s="35"/>
      <c r="J196" s="35">
        <v>220.03</v>
      </c>
      <c r="K196" s="35"/>
      <c r="L196" s="390"/>
      <c r="M196" s="35"/>
      <c r="N196" s="463">
        <f t="shared" si="14"/>
        <v>401589.09584209911</v>
      </c>
    </row>
    <row r="197" spans="1:14" hidden="1" outlineLevel="1">
      <c r="A197" s="422"/>
      <c r="B197" s="451">
        <v>45467</v>
      </c>
      <c r="C197" s="480"/>
      <c r="D197" s="35"/>
      <c r="E197" s="35"/>
      <c r="F197" s="39"/>
      <c r="G197" s="39"/>
      <c r="H197" s="39"/>
      <c r="I197" s="35"/>
      <c r="J197" s="35"/>
      <c r="K197" s="35"/>
      <c r="L197" s="415">
        <v>103671.36081625674</v>
      </c>
      <c r="M197" s="35"/>
      <c r="N197" s="463">
        <f t="shared" si="14"/>
        <v>297917.73502584238</v>
      </c>
    </row>
    <row r="198" spans="1:14" hidden="1" outlineLevel="1">
      <c r="A198" s="422"/>
      <c r="B198" s="451">
        <v>45467</v>
      </c>
      <c r="C198" s="480"/>
      <c r="D198" s="35"/>
      <c r="E198" s="35"/>
      <c r="F198" s="39"/>
      <c r="G198" s="39"/>
      <c r="H198" s="39"/>
      <c r="I198" s="35"/>
      <c r="J198" s="35"/>
      <c r="K198" s="35"/>
      <c r="L198" s="415">
        <v>192122.97918374321</v>
      </c>
      <c r="M198" s="35"/>
      <c r="N198" s="463">
        <f t="shared" si="14"/>
        <v>105794.75584209917</v>
      </c>
    </row>
    <row r="199" spans="1:14" ht="14.25" hidden="1" outlineLevel="1" thickBot="1">
      <c r="A199" s="422"/>
      <c r="B199" s="510"/>
      <c r="C199" s="511"/>
      <c r="D199" s="511"/>
      <c r="E199" s="511"/>
      <c r="F199" s="512"/>
      <c r="G199" s="512"/>
      <c r="H199" s="513"/>
      <c r="I199" s="513"/>
      <c r="J199" s="513"/>
      <c r="K199" s="512"/>
      <c r="L199" s="514"/>
      <c r="M199" s="515"/>
      <c r="N199" s="872">
        <f>N198</f>
        <v>105794.75584209917</v>
      </c>
    </row>
    <row r="200" spans="1:14" hidden="1" outlineLevel="1" collapsed="1">
      <c r="A200" s="422"/>
      <c r="B200" s="451">
        <v>45483</v>
      </c>
      <c r="C200" s="39"/>
      <c r="D200" s="35"/>
      <c r="E200" s="35"/>
      <c r="F200" s="39"/>
      <c r="G200" s="39"/>
      <c r="H200" s="39"/>
      <c r="I200" s="792"/>
      <c r="J200" s="35"/>
      <c r="K200" s="35"/>
      <c r="L200" s="390">
        <v>46204.480000000003</v>
      </c>
      <c r="M200" s="35"/>
      <c r="N200" s="463">
        <f>N198+H200+J200-L200</f>
        <v>59590.275842099167</v>
      </c>
    </row>
    <row r="201" spans="1:14" hidden="1" outlineLevel="1" collapsed="1">
      <c r="A201" s="422"/>
      <c r="B201" s="451">
        <v>45484</v>
      </c>
      <c r="C201" s="39">
        <v>1383.4</v>
      </c>
      <c r="D201" s="35"/>
      <c r="E201" s="35"/>
      <c r="F201" s="39">
        <v>41207</v>
      </c>
      <c r="G201" s="39"/>
      <c r="H201" s="39"/>
      <c r="I201" s="792"/>
      <c r="J201" s="35"/>
      <c r="K201" s="35"/>
      <c r="L201" s="390"/>
      <c r="M201" s="35"/>
      <c r="N201" s="463">
        <f>N200+H201+J201-L201</f>
        <v>59590.275842099167</v>
      </c>
    </row>
    <row r="202" spans="1:14" hidden="1" outlineLevel="1">
      <c r="A202" s="422"/>
      <c r="B202" s="451">
        <v>45484</v>
      </c>
      <c r="C202" s="480"/>
      <c r="D202" s="421">
        <f>-H202/F202</f>
        <v>7.2580999125279417</v>
      </c>
      <c r="E202" s="35"/>
      <c r="F202" s="39">
        <v>-41156</v>
      </c>
      <c r="G202" s="39"/>
      <c r="H202" s="39">
        <v>298714.36</v>
      </c>
      <c r="I202" s="35"/>
      <c r="J202" s="35"/>
      <c r="K202" s="35">
        <v>51</v>
      </c>
      <c r="L202" s="390"/>
      <c r="M202" s="35"/>
      <c r="N202" s="463">
        <f>N201+H202+J202-L202</f>
        <v>358304.63584209915</v>
      </c>
    </row>
    <row r="203" spans="1:14" hidden="1" outlineLevel="1">
      <c r="A203" s="422"/>
      <c r="B203" s="451">
        <v>45488</v>
      </c>
      <c r="C203" s="480"/>
      <c r="D203" s="35"/>
      <c r="E203" s="35"/>
      <c r="F203" s="39"/>
      <c r="G203" s="39"/>
      <c r="H203" s="39"/>
      <c r="I203" s="35"/>
      <c r="J203" s="35"/>
      <c r="K203" s="35"/>
      <c r="L203" s="390">
        <v>26089.8</v>
      </c>
      <c r="M203" s="35"/>
      <c r="N203" s="463">
        <f>N202+H203+J203-L203</f>
        <v>332214.83584209916</v>
      </c>
    </row>
    <row r="204" spans="1:14" hidden="1" outlineLevel="1">
      <c r="A204" s="422"/>
      <c r="B204" s="451">
        <v>45496</v>
      </c>
      <c r="C204" s="480"/>
      <c r="D204" s="35"/>
      <c r="E204" s="35"/>
      <c r="F204" s="39"/>
      <c r="G204" s="39"/>
      <c r="H204" s="39"/>
      <c r="I204" s="35"/>
      <c r="J204" s="35"/>
      <c r="K204" s="35"/>
      <c r="L204" s="415">
        <v>33576.903048994063</v>
      </c>
      <c r="M204" s="35"/>
      <c r="N204" s="463">
        <f>N203+H204+J204-L204</f>
        <v>298637.93279310508</v>
      </c>
    </row>
    <row r="205" spans="1:14" hidden="1" outlineLevel="1">
      <c r="A205" s="422"/>
      <c r="B205" s="451">
        <v>45496</v>
      </c>
      <c r="C205" s="480"/>
      <c r="D205" s="35"/>
      <c r="E205" s="35"/>
      <c r="F205" s="39"/>
      <c r="G205" s="39"/>
      <c r="H205" s="39"/>
      <c r="I205" s="35"/>
      <c r="J205" s="35"/>
      <c r="K205" s="35"/>
      <c r="L205" s="415">
        <v>275578.73695100599</v>
      </c>
      <c r="M205" s="35"/>
      <c r="N205" s="463">
        <f>N204+H205+J205-L205</f>
        <v>23059.195842099085</v>
      </c>
    </row>
    <row r="206" spans="1:14" ht="14.25" hidden="1" outlineLevel="1" thickBot="1">
      <c r="A206" s="422"/>
      <c r="B206" s="510"/>
      <c r="C206" s="511"/>
      <c r="D206" s="511"/>
      <c r="E206" s="511"/>
      <c r="F206" s="512"/>
      <c r="G206" s="512"/>
      <c r="H206" s="513"/>
      <c r="I206" s="513"/>
      <c r="J206" s="513"/>
      <c r="K206" s="512"/>
      <c r="L206" s="514"/>
      <c r="M206" s="515"/>
      <c r="N206" s="872">
        <f>N205</f>
        <v>23059.195842099085</v>
      </c>
    </row>
    <row r="207" spans="1:14" hidden="1" outlineLevel="1" collapsed="1">
      <c r="A207" s="422"/>
      <c r="B207" s="451">
        <v>45517</v>
      </c>
      <c r="C207" s="10">
        <v>1369.4</v>
      </c>
      <c r="D207" s="35"/>
      <c r="E207" s="35"/>
      <c r="F207" s="364">
        <v>57247</v>
      </c>
      <c r="G207" s="39"/>
      <c r="H207" s="39"/>
      <c r="I207" s="792"/>
      <c r="J207" s="35"/>
      <c r="K207" s="35"/>
      <c r="L207" s="390"/>
      <c r="M207" s="35"/>
      <c r="N207" s="463">
        <f>N205+H207+J207-L207</f>
        <v>23059.195842099085</v>
      </c>
    </row>
    <row r="208" spans="1:14" hidden="1" outlineLevel="1">
      <c r="A208" s="422"/>
      <c r="B208" s="451"/>
      <c r="C208" s="480"/>
      <c r="D208" s="421">
        <f>-H208/F208</f>
        <v>7.1574999999999998</v>
      </c>
      <c r="E208" s="35"/>
      <c r="F208" s="39">
        <v>-57196</v>
      </c>
      <c r="G208" s="39"/>
      <c r="H208" s="39">
        <v>409380.37</v>
      </c>
      <c r="I208" s="35"/>
      <c r="J208" s="35"/>
      <c r="K208" s="35">
        <v>51</v>
      </c>
      <c r="L208" s="390"/>
      <c r="M208" s="35"/>
      <c r="N208" s="463">
        <f>N207+H208+J208-L208</f>
        <v>432439.56584209908</v>
      </c>
    </row>
    <row r="209" spans="1:14" hidden="1" outlineLevel="1">
      <c r="A209" s="422"/>
      <c r="B209" s="451">
        <v>45518</v>
      </c>
      <c r="C209" s="480"/>
      <c r="D209" s="35"/>
      <c r="E209" s="35"/>
      <c r="F209" s="39"/>
      <c r="G209" s="39"/>
      <c r="H209" s="39"/>
      <c r="I209" s="35"/>
      <c r="J209" s="35"/>
      <c r="K209" s="35"/>
      <c r="L209" s="415">
        <v>23135.556376178443</v>
      </c>
      <c r="M209" s="35"/>
      <c r="N209" s="463">
        <f>N208+H209+J209-L209</f>
        <v>409304.00946592062</v>
      </c>
    </row>
    <row r="210" spans="1:14" hidden="1" outlineLevel="1">
      <c r="A210" s="422"/>
      <c r="B210" s="451">
        <v>45518</v>
      </c>
      <c r="C210" s="480"/>
      <c r="D210" s="35"/>
      <c r="E210" s="35"/>
      <c r="F210" s="39"/>
      <c r="G210" s="39"/>
      <c r="H210" s="39"/>
      <c r="I210" s="35"/>
      <c r="J210" s="35"/>
      <c r="K210" s="35"/>
      <c r="L210" s="415">
        <v>2965.2436238215564</v>
      </c>
      <c r="M210" s="35"/>
      <c r="N210" s="463">
        <f>N209+H210+J210-L210</f>
        <v>406338.76584209909</v>
      </c>
    </row>
    <row r="211" spans="1:14" hidden="1" outlineLevel="1">
      <c r="A211" s="422"/>
      <c r="B211" s="451">
        <v>45526</v>
      </c>
      <c r="C211" s="480"/>
      <c r="D211" s="35"/>
      <c r="E211" s="35"/>
      <c r="F211" s="39"/>
      <c r="G211" s="39"/>
      <c r="H211" s="39"/>
      <c r="I211" s="35"/>
      <c r="J211" s="35"/>
      <c r="K211" s="35"/>
      <c r="L211" s="390">
        <v>189940.13000000003</v>
      </c>
      <c r="M211" s="35"/>
      <c r="N211" s="463">
        <f>N210+H211+J211-L211</f>
        <v>216398.63584209906</v>
      </c>
    </row>
    <row r="212" spans="1:14" hidden="1" outlineLevel="1">
      <c r="A212" s="422"/>
      <c r="B212" s="451">
        <v>45527</v>
      </c>
      <c r="C212" s="480"/>
      <c r="D212" s="35"/>
      <c r="E212" s="35"/>
      <c r="F212" s="39"/>
      <c r="G212" s="39"/>
      <c r="H212" s="39"/>
      <c r="I212" s="35"/>
      <c r="J212" s="35"/>
      <c r="K212" s="35"/>
      <c r="L212" s="390">
        <v>179539.31999999998</v>
      </c>
      <c r="M212" s="35"/>
      <c r="N212" s="463">
        <f>N211+H212+J212-L212</f>
        <v>36859.31584209908</v>
      </c>
    </row>
    <row r="213" spans="1:14" ht="14.25" hidden="1" outlineLevel="1" thickBot="1">
      <c r="A213" s="422"/>
      <c r="B213" s="510"/>
      <c r="C213" s="511"/>
      <c r="D213" s="511"/>
      <c r="E213" s="511"/>
      <c r="F213" s="512"/>
      <c r="G213" s="512"/>
      <c r="H213" s="513"/>
      <c r="I213" s="513"/>
      <c r="J213" s="513"/>
      <c r="K213" s="512"/>
      <c r="L213" s="514"/>
      <c r="M213" s="515"/>
      <c r="N213" s="872">
        <f>N212</f>
        <v>36859.31584209908</v>
      </c>
    </row>
    <row r="214" spans="1:14" hidden="1" outlineLevel="1" collapsed="1">
      <c r="A214" s="422"/>
      <c r="B214" s="451">
        <v>45548</v>
      </c>
      <c r="C214" s="10">
        <v>1339.5</v>
      </c>
      <c r="D214" s="35"/>
      <c r="E214" s="35"/>
      <c r="F214" s="364">
        <v>48890</v>
      </c>
      <c r="G214" s="39"/>
      <c r="H214" s="39"/>
      <c r="I214" s="792"/>
      <c r="J214" s="35"/>
      <c r="K214" s="35"/>
      <c r="L214" s="390"/>
      <c r="M214" s="35"/>
      <c r="N214" s="463">
        <f>N212+H214+J214-L214</f>
        <v>36859.31584209908</v>
      </c>
    </row>
    <row r="215" spans="1:14" hidden="1" outlineLevel="1">
      <c r="A215" s="422"/>
      <c r="B215" s="451"/>
      <c r="C215" s="480"/>
      <c r="D215" s="421">
        <f>-H215/F215</f>
        <v>7.1068000982821111</v>
      </c>
      <c r="E215" s="35"/>
      <c r="F215" s="39">
        <v>-48839</v>
      </c>
      <c r="G215" s="39"/>
      <c r="H215" s="39">
        <v>347089.01</v>
      </c>
      <c r="I215" s="35"/>
      <c r="J215" s="35"/>
      <c r="K215" s="35">
        <v>51</v>
      </c>
      <c r="L215" s="390"/>
      <c r="M215" s="35"/>
      <c r="N215" s="463">
        <f>N214+H215+J215-L215</f>
        <v>383948.32584209909</v>
      </c>
    </row>
    <row r="216" spans="1:14" hidden="1" outlineLevel="1">
      <c r="A216" s="422"/>
      <c r="B216" s="451">
        <v>45556</v>
      </c>
      <c r="C216" s="480"/>
      <c r="D216" s="35"/>
      <c r="E216" s="35"/>
      <c r="F216" s="39"/>
      <c r="G216" s="39"/>
      <c r="H216" s="39"/>
      <c r="J216" s="35">
        <v>128.32</v>
      </c>
      <c r="K216" s="35"/>
      <c r="L216" s="390">
        <v>26158.799999999999</v>
      </c>
      <c r="M216" s="35"/>
      <c r="N216" s="463">
        <f>N215+H216+J216-L216</f>
        <v>357917.84584209911</v>
      </c>
    </row>
    <row r="217" spans="1:14" hidden="1" outlineLevel="1">
      <c r="A217" s="422"/>
      <c r="B217" s="451">
        <v>45558</v>
      </c>
      <c r="C217" s="480"/>
      <c r="D217" s="35"/>
      <c r="E217" s="35"/>
      <c r="F217" s="39"/>
      <c r="G217" s="39"/>
      <c r="H217" s="39"/>
      <c r="I217" s="35"/>
      <c r="J217" s="35"/>
      <c r="K217" s="35"/>
      <c r="L217" s="415">
        <v>10905.23</v>
      </c>
      <c r="M217" s="35"/>
      <c r="N217" s="463">
        <f>N216+H217+J217-L217</f>
        <v>347012.61584209913</v>
      </c>
    </row>
    <row r="218" spans="1:14" hidden="1" outlineLevel="1">
      <c r="A218" s="422"/>
      <c r="B218" s="451">
        <v>45558</v>
      </c>
      <c r="C218" s="480"/>
      <c r="D218" s="35"/>
      <c r="E218" s="35"/>
      <c r="F218" s="39"/>
      <c r="G218" s="39"/>
      <c r="H218" s="39"/>
      <c r="I218" s="35"/>
      <c r="J218" s="35"/>
      <c r="K218" s="35"/>
      <c r="L218" s="415">
        <v>285557.74</v>
      </c>
      <c r="M218" s="35"/>
      <c r="N218" s="463">
        <f>N217+H218+J218-L218</f>
        <v>61454.875842099136</v>
      </c>
    </row>
    <row r="219" spans="1:14" ht="14.25" hidden="1" outlineLevel="1" thickBot="1">
      <c r="A219" s="422"/>
      <c r="B219" s="510"/>
      <c r="C219" s="511"/>
      <c r="D219" s="511"/>
      <c r="E219" s="511"/>
      <c r="F219" s="512"/>
      <c r="G219" s="512"/>
      <c r="H219" s="513"/>
      <c r="I219" s="513"/>
      <c r="J219" s="513"/>
      <c r="K219" s="512"/>
      <c r="L219" s="514"/>
      <c r="M219" s="515"/>
      <c r="N219" s="872">
        <f>N218</f>
        <v>61454.875842099136</v>
      </c>
    </row>
    <row r="220" spans="1:14" hidden="1" outlineLevel="1" collapsed="1">
      <c r="A220" s="422"/>
      <c r="B220" s="451">
        <v>45576</v>
      </c>
      <c r="C220" s="480"/>
      <c r="D220" s="35"/>
      <c r="E220" s="35"/>
      <c r="F220" s="39"/>
      <c r="G220" s="39"/>
      <c r="H220" s="39"/>
      <c r="I220" s="792"/>
      <c r="J220" s="35"/>
      <c r="K220" s="35"/>
      <c r="L220" s="390">
        <v>60082.82</v>
      </c>
      <c r="M220" s="35"/>
      <c r="N220" s="463">
        <f>N219+H220+J220-L220</f>
        <v>1372.0558420991365</v>
      </c>
    </row>
    <row r="221" spans="1:14" hidden="1" outlineLevel="1" collapsed="1">
      <c r="A221" s="422"/>
      <c r="B221" s="451">
        <v>45579</v>
      </c>
      <c r="C221" s="364">
        <v>1347.8</v>
      </c>
      <c r="D221" s="35"/>
      <c r="E221" s="35"/>
      <c r="F221" s="364">
        <v>60079</v>
      </c>
      <c r="G221" s="39"/>
      <c r="H221" s="39"/>
      <c r="I221" s="792"/>
      <c r="J221" s="35"/>
      <c r="K221" s="35"/>
      <c r="L221" s="390"/>
      <c r="M221" s="35"/>
      <c r="N221" s="463">
        <f t="shared" ref="N221:N227" si="15">N220+H221+J221-L221</f>
        <v>1372.0558420991365</v>
      </c>
    </row>
    <row r="222" spans="1:14" hidden="1" outlineLevel="1">
      <c r="A222" s="422"/>
      <c r="B222" s="451"/>
      <c r="C222" s="480"/>
      <c r="D222" s="421">
        <f>-H222/F222</f>
        <v>7.0625</v>
      </c>
      <c r="E222" s="35"/>
      <c r="F222" s="39">
        <v>-60028</v>
      </c>
      <c r="G222" s="39"/>
      <c r="H222" s="39">
        <v>423947.75</v>
      </c>
      <c r="I222" s="35"/>
      <c r="J222" s="35"/>
      <c r="K222" s="35">
        <v>51</v>
      </c>
      <c r="L222" s="390"/>
      <c r="M222" s="35"/>
      <c r="N222" s="463">
        <f t="shared" si="15"/>
        <v>425319.80584209913</v>
      </c>
    </row>
    <row r="223" spans="1:14" hidden="1" outlineLevel="1">
      <c r="A223" s="422"/>
      <c r="B223" s="451">
        <v>45580</v>
      </c>
      <c r="C223" s="480"/>
      <c r="D223" s="35"/>
      <c r="E223" s="35"/>
      <c r="F223" s="39"/>
      <c r="G223" s="39"/>
      <c r="H223" s="39"/>
      <c r="J223" s="35"/>
      <c r="K223" s="35"/>
      <c r="L223" s="415">
        <v>1448.4461500000762</v>
      </c>
      <c r="M223" s="35"/>
      <c r="N223" s="463">
        <f t="shared" si="15"/>
        <v>423871.35969209904</v>
      </c>
    </row>
    <row r="224" spans="1:14" hidden="1" outlineLevel="1">
      <c r="A224" s="422"/>
      <c r="B224" s="451">
        <v>45580</v>
      </c>
      <c r="C224" s="480"/>
      <c r="D224" s="35"/>
      <c r="E224" s="35"/>
      <c r="F224" s="39"/>
      <c r="G224" s="39"/>
      <c r="H224" s="39"/>
      <c r="I224" s="35"/>
      <c r="J224" s="35"/>
      <c r="K224" s="35"/>
      <c r="L224" s="415">
        <v>23103.75</v>
      </c>
      <c r="M224" s="35"/>
      <c r="N224" s="463">
        <f t="shared" si="15"/>
        <v>400767.60969209904</v>
      </c>
    </row>
    <row r="225" spans="1:14" hidden="1" outlineLevel="1">
      <c r="A225" s="422"/>
      <c r="B225" s="451">
        <v>45582</v>
      </c>
      <c r="C225" s="480"/>
      <c r="D225" s="35"/>
      <c r="E225" s="35"/>
      <c r="F225" s="39"/>
      <c r="G225" s="39"/>
      <c r="H225" s="39"/>
      <c r="I225" s="35"/>
      <c r="J225" s="35"/>
      <c r="K225" s="35"/>
      <c r="L225" s="390">
        <v>1603.6</v>
      </c>
      <c r="M225" s="35"/>
      <c r="N225" s="463">
        <f t="shared" si="15"/>
        <v>399164.00969209906</v>
      </c>
    </row>
    <row r="226" spans="1:14" hidden="1" outlineLevel="1">
      <c r="A226" s="422"/>
      <c r="B226" s="451">
        <v>45586</v>
      </c>
      <c r="C226" s="480"/>
      <c r="D226" s="35"/>
      <c r="E226" s="35"/>
      <c r="F226" s="39"/>
      <c r="G226" s="39"/>
      <c r="H226" s="39"/>
      <c r="I226" s="35"/>
      <c r="J226" s="35"/>
      <c r="K226" s="35"/>
      <c r="L226" s="390">
        <v>83521.430000000008</v>
      </c>
      <c r="M226" s="35"/>
      <c r="N226" s="463">
        <f t="shared" si="15"/>
        <v>315642.57969209907</v>
      </c>
    </row>
    <row r="227" spans="1:14" hidden="1" outlineLevel="1">
      <c r="A227" s="422"/>
      <c r="B227" s="451">
        <v>45588</v>
      </c>
      <c r="C227" s="480"/>
      <c r="D227" s="35"/>
      <c r="E227" s="35"/>
      <c r="F227" s="39"/>
      <c r="G227" s="39"/>
      <c r="H227" s="39"/>
      <c r="I227" s="35"/>
      <c r="J227" s="35"/>
      <c r="K227" s="35"/>
      <c r="L227" s="390">
        <v>217784.93000000002</v>
      </c>
      <c r="M227" s="35"/>
      <c r="N227" s="463">
        <f t="shared" si="15"/>
        <v>97857.649692099047</v>
      </c>
    </row>
    <row r="228" spans="1:14" ht="14.25" hidden="1" outlineLevel="1" thickBot="1">
      <c r="A228" s="422"/>
      <c r="B228" s="510"/>
      <c r="C228" s="511"/>
      <c r="D228" s="511"/>
      <c r="E228" s="511"/>
      <c r="F228" s="512"/>
      <c r="G228" s="512"/>
      <c r="H228" s="513"/>
      <c r="I228" s="513"/>
      <c r="J228" s="513"/>
      <c r="K228" s="512"/>
      <c r="L228" s="514"/>
      <c r="M228" s="515"/>
      <c r="N228" s="872">
        <f>N227</f>
        <v>97857.649692099047</v>
      </c>
    </row>
    <row r="229" spans="1:14" hidden="1" outlineLevel="1">
      <c r="A229" s="422"/>
      <c r="B229" s="451">
        <v>45597</v>
      </c>
      <c r="C229" s="480"/>
      <c r="D229" s="35"/>
      <c r="E229" s="35"/>
      <c r="F229" s="39"/>
      <c r="G229" s="39"/>
      <c r="H229" s="39"/>
      <c r="I229" s="792"/>
      <c r="J229" s="35"/>
      <c r="K229" s="35"/>
      <c r="L229" s="390">
        <v>1202.5999999999999</v>
      </c>
      <c r="M229" s="35"/>
      <c r="N229" s="463">
        <f>N228+H229+J229-L229</f>
        <v>96655.049692099041</v>
      </c>
    </row>
    <row r="230" spans="1:14" hidden="1" outlineLevel="1" collapsed="1">
      <c r="A230" s="422"/>
      <c r="B230" s="451">
        <v>45611</v>
      </c>
      <c r="C230" s="364">
        <v>1385.4</v>
      </c>
      <c r="D230" s="35"/>
      <c r="E230" s="35"/>
      <c r="F230" s="364">
        <v>38324</v>
      </c>
      <c r="G230" s="39"/>
      <c r="H230" s="39"/>
      <c r="I230" s="792"/>
      <c r="J230" s="35"/>
      <c r="K230" s="35"/>
      <c r="L230" s="390"/>
      <c r="M230" s="35"/>
      <c r="N230" s="463">
        <f t="shared" ref="N230:N235" si="16">N229+H230+J230-L230</f>
        <v>96655.049692099041</v>
      </c>
    </row>
    <row r="231" spans="1:14" hidden="1" outlineLevel="1">
      <c r="A231" s="422"/>
      <c r="B231" s="451">
        <v>45611</v>
      </c>
      <c r="C231" s="480"/>
      <c r="D231" s="421">
        <f>-H231/F231</f>
        <v>7.2228999555822639</v>
      </c>
      <c r="E231" s="35"/>
      <c r="F231" s="39">
        <v>-38273</v>
      </c>
      <c r="G231" s="39"/>
      <c r="H231" s="39">
        <v>276442.05</v>
      </c>
      <c r="I231" s="35"/>
      <c r="J231" s="35"/>
      <c r="K231" s="35">
        <v>51</v>
      </c>
      <c r="L231" s="390"/>
      <c r="M231" s="35"/>
      <c r="N231" s="463">
        <f t="shared" si="16"/>
        <v>373097.09969209903</v>
      </c>
    </row>
    <row r="232" spans="1:14" hidden="1" outlineLevel="1">
      <c r="A232" s="422"/>
      <c r="B232" s="451">
        <v>45611</v>
      </c>
      <c r="C232" s="480"/>
      <c r="D232" s="35"/>
      <c r="E232" s="35"/>
      <c r="F232" s="39"/>
      <c r="G232" s="39"/>
      <c r="H232" s="39"/>
      <c r="J232" s="35"/>
      <c r="K232" s="35"/>
      <c r="L232" s="390">
        <v>26101.8</v>
      </c>
      <c r="M232" s="35"/>
      <c r="N232" s="463">
        <f t="shared" si="16"/>
        <v>346995.29969209904</v>
      </c>
    </row>
    <row r="233" spans="1:14" hidden="1" outlineLevel="1">
      <c r="A233" s="422"/>
      <c r="B233" s="451">
        <v>45616</v>
      </c>
      <c r="C233" s="480"/>
      <c r="D233" s="35"/>
      <c r="E233" s="35"/>
      <c r="F233" s="39"/>
      <c r="G233" s="39"/>
      <c r="H233" s="39"/>
      <c r="I233" s="35"/>
      <c r="J233" s="35"/>
      <c r="K233" s="35"/>
      <c r="L233" s="415">
        <v>70629.671150000111</v>
      </c>
      <c r="M233" s="35"/>
      <c r="N233" s="463">
        <f t="shared" si="16"/>
        <v>276365.62854209892</v>
      </c>
    </row>
    <row r="234" spans="1:14" hidden="1" outlineLevel="1">
      <c r="A234" s="422"/>
      <c r="B234" s="451">
        <v>45616</v>
      </c>
      <c r="C234" s="480"/>
      <c r="D234" s="35"/>
      <c r="E234" s="35"/>
      <c r="F234" s="39"/>
      <c r="G234" s="39"/>
      <c r="H234" s="39"/>
      <c r="I234" s="35"/>
      <c r="J234" s="35"/>
      <c r="K234" s="35"/>
      <c r="L234" s="415">
        <v>176014.44884999993</v>
      </c>
      <c r="M234" s="35"/>
      <c r="N234" s="463">
        <f t="shared" si="16"/>
        <v>100351.17969209899</v>
      </c>
    </row>
    <row r="235" spans="1:14" hidden="1" outlineLevel="1">
      <c r="A235" s="422"/>
      <c r="B235" s="451">
        <v>45617</v>
      </c>
      <c r="C235" s="480"/>
      <c r="D235" s="35"/>
      <c r="E235" s="35"/>
      <c r="F235" s="39"/>
      <c r="G235" s="39"/>
      <c r="H235" s="39"/>
      <c r="I235" s="35"/>
      <c r="J235" s="35"/>
      <c r="K235" s="35"/>
      <c r="L235" s="390">
        <v>20424.87</v>
      </c>
      <c r="M235" s="35"/>
      <c r="N235" s="463">
        <f t="shared" si="16"/>
        <v>79926.309692098992</v>
      </c>
    </row>
    <row r="236" spans="1:14" ht="14.25" hidden="1" outlineLevel="1" thickBot="1">
      <c r="A236" s="422"/>
      <c r="B236" s="510"/>
      <c r="C236" s="511"/>
      <c r="D236" s="511"/>
      <c r="E236" s="511"/>
      <c r="F236" s="512"/>
      <c r="G236" s="512"/>
      <c r="H236" s="513"/>
      <c r="I236" s="513"/>
      <c r="J236" s="513"/>
      <c r="K236" s="512"/>
      <c r="L236" s="514"/>
      <c r="M236" s="515"/>
      <c r="N236" s="872">
        <f>N235</f>
        <v>79926.309692098992</v>
      </c>
    </row>
    <row r="237" spans="1:14" hidden="1" outlineLevel="1" collapsed="1">
      <c r="A237" s="422"/>
      <c r="B237" s="451">
        <v>45639</v>
      </c>
      <c r="C237" s="480">
        <v>1433.2</v>
      </c>
      <c r="D237" s="35"/>
      <c r="E237" s="35"/>
      <c r="F237" s="39">
        <v>45932</v>
      </c>
      <c r="G237" s="39"/>
      <c r="H237" s="39"/>
      <c r="I237" s="792"/>
      <c r="J237" s="35"/>
      <c r="K237" s="35"/>
      <c r="L237" s="390"/>
      <c r="M237" s="35"/>
      <c r="N237" s="463">
        <f>N236+H237+J237-L237</f>
        <v>79926.309692098992</v>
      </c>
    </row>
    <row r="238" spans="1:14" hidden="1" outlineLevel="1" collapsed="1">
      <c r="A238" s="422"/>
      <c r="B238" s="451"/>
      <c r="C238" s="364"/>
      <c r="D238" s="421">
        <f>-H238/F238</f>
        <v>7.2637000065386541</v>
      </c>
      <c r="E238" s="35"/>
      <c r="F238" s="39">
        <v>-45881</v>
      </c>
      <c r="G238" s="39"/>
      <c r="H238" s="39">
        <v>333265.82</v>
      </c>
      <c r="I238" s="792"/>
      <c r="J238" s="35"/>
      <c r="K238" s="35">
        <v>51</v>
      </c>
      <c r="L238" s="390"/>
      <c r="M238" s="35"/>
      <c r="N238" s="463">
        <f t="shared" ref="N238:N254" si="17">N237+H238+J238-L238</f>
        <v>413192.129692099</v>
      </c>
    </row>
    <row r="239" spans="1:14" hidden="1" outlineLevel="1">
      <c r="A239" s="422"/>
      <c r="B239" s="451">
        <v>45639</v>
      </c>
      <c r="C239" s="480"/>
      <c r="D239" s="35"/>
      <c r="E239" s="35"/>
      <c r="F239" s="39"/>
      <c r="G239" s="39"/>
      <c r="H239" s="39"/>
      <c r="I239" s="35"/>
      <c r="J239" s="35"/>
      <c r="K239" s="35"/>
      <c r="L239" s="390">
        <v>26156.799999999999</v>
      </c>
      <c r="M239" s="35"/>
      <c r="N239" s="463">
        <f t="shared" si="17"/>
        <v>387035.32969209901</v>
      </c>
    </row>
    <row r="240" spans="1:14" hidden="1" outlineLevel="1">
      <c r="A240" s="422"/>
      <c r="B240" s="451">
        <v>45646</v>
      </c>
      <c r="C240" s="480"/>
      <c r="D240" s="35"/>
      <c r="E240" s="35"/>
      <c r="F240" s="39"/>
      <c r="G240" s="39"/>
      <c r="H240" s="39"/>
      <c r="I240" s="35"/>
      <c r="J240" s="35"/>
      <c r="K240" s="35"/>
      <c r="L240" s="415">
        <v>53845.919999999998</v>
      </c>
      <c r="M240" s="35"/>
      <c r="N240" s="463">
        <f t="shared" si="17"/>
        <v>333189.40969209903</v>
      </c>
    </row>
    <row r="241" spans="1:14" hidden="1" outlineLevel="1">
      <c r="A241" s="422"/>
      <c r="B241" s="451">
        <v>45646</v>
      </c>
      <c r="C241" s="480"/>
      <c r="D241" s="35"/>
      <c r="E241" s="35"/>
      <c r="F241" s="39"/>
      <c r="G241" s="39"/>
      <c r="H241" s="39"/>
      <c r="I241" s="35"/>
      <c r="J241" s="35"/>
      <c r="K241" s="35"/>
      <c r="L241" s="415">
        <v>62345.72</v>
      </c>
      <c r="M241" s="35"/>
      <c r="N241" s="463">
        <f t="shared" si="17"/>
        <v>270843.689692099</v>
      </c>
    </row>
    <row r="242" spans="1:14" hidden="1" outlineLevel="1">
      <c r="A242" s="422"/>
      <c r="B242" s="451">
        <v>45647</v>
      </c>
      <c r="C242" s="480"/>
      <c r="D242" s="35"/>
      <c r="E242" s="35"/>
      <c r="F242" s="39"/>
      <c r="G242" s="39"/>
      <c r="H242" s="39"/>
      <c r="I242" s="35"/>
      <c r="J242" s="35">
        <v>97.84</v>
      </c>
      <c r="K242" s="35"/>
      <c r="L242" s="390">
        <v>192628.43000000002</v>
      </c>
      <c r="M242" s="35"/>
      <c r="N242" s="463">
        <f t="shared" si="17"/>
        <v>78313.099692099</v>
      </c>
    </row>
    <row r="243" spans="1:14" ht="14.25" hidden="1" outlineLevel="1" thickBot="1">
      <c r="A243" s="422"/>
      <c r="B243" s="510"/>
      <c r="C243" s="511"/>
      <c r="D243" s="511"/>
      <c r="E243" s="511"/>
      <c r="F243" s="512"/>
      <c r="G243" s="512"/>
      <c r="H243" s="513"/>
      <c r="I243" s="513"/>
      <c r="J243" s="513"/>
      <c r="K243" s="512"/>
      <c r="L243" s="514"/>
      <c r="M243" s="515"/>
      <c r="N243" s="872">
        <f>N242</f>
        <v>78313.099692099</v>
      </c>
    </row>
    <row r="244" spans="1:14" hidden="1" outlineLevel="1" collapsed="1">
      <c r="A244" s="422"/>
      <c r="B244" s="451">
        <v>45667</v>
      </c>
      <c r="C244" s="480"/>
      <c r="D244" s="35"/>
      <c r="E244" s="35"/>
      <c r="F244" s="39"/>
      <c r="G244" s="39"/>
      <c r="H244" s="39"/>
      <c r="I244" s="35"/>
      <c r="J244" s="35"/>
      <c r="K244" s="35"/>
      <c r="L244" s="390">
        <v>42812.63</v>
      </c>
      <c r="M244" s="35"/>
      <c r="N244" s="463">
        <f t="shared" si="17"/>
        <v>35500.469692099003</v>
      </c>
    </row>
    <row r="245" spans="1:14" hidden="1" outlineLevel="1" collapsed="1">
      <c r="A245" s="422"/>
      <c r="B245" s="451">
        <v>45670</v>
      </c>
      <c r="C245" s="480">
        <v>1458.2</v>
      </c>
      <c r="D245" s="35"/>
      <c r="E245" s="35"/>
      <c r="F245" s="39">
        <v>64806</v>
      </c>
      <c r="G245" s="39"/>
      <c r="H245" s="39"/>
      <c r="I245" s="792"/>
      <c r="J245" s="35"/>
      <c r="K245" s="35"/>
      <c r="L245" s="390"/>
      <c r="M245" s="35"/>
      <c r="N245" s="463">
        <f t="shared" si="17"/>
        <v>35500.469692099003</v>
      </c>
    </row>
    <row r="246" spans="1:14" hidden="1" outlineLevel="1" collapsed="1">
      <c r="A246" s="422"/>
      <c r="B246" s="451"/>
      <c r="C246" s="364"/>
      <c r="D246" s="421">
        <f>-H246/F246</f>
        <v>7.3190999922785887</v>
      </c>
      <c r="E246" s="35"/>
      <c r="F246" s="39">
        <v>-64755</v>
      </c>
      <c r="G246" s="39"/>
      <c r="H246" s="39">
        <v>473948.32</v>
      </c>
      <c r="I246" s="792"/>
      <c r="J246" s="35"/>
      <c r="K246" s="35">
        <v>51</v>
      </c>
      <c r="L246" s="390"/>
      <c r="M246" s="35"/>
      <c r="N246" s="463">
        <f t="shared" si="17"/>
        <v>509448.78969209903</v>
      </c>
    </row>
    <row r="247" spans="1:14" hidden="1" outlineLevel="1">
      <c r="A247" s="422"/>
      <c r="B247" s="451">
        <v>45672</v>
      </c>
      <c r="C247" s="480"/>
      <c r="D247" s="35"/>
      <c r="E247" s="35"/>
      <c r="F247" s="39"/>
      <c r="G247" s="39"/>
      <c r="H247" s="39"/>
      <c r="I247" s="35"/>
      <c r="J247" s="35"/>
      <c r="K247" s="35"/>
      <c r="L247" s="390">
        <v>26205.8</v>
      </c>
      <c r="M247" s="35"/>
      <c r="N247" s="463">
        <f t="shared" si="17"/>
        <v>483242.98969209904</v>
      </c>
    </row>
    <row r="248" spans="1:14" hidden="1" outlineLevel="1">
      <c r="A248" s="422"/>
      <c r="B248" s="451">
        <v>45674</v>
      </c>
      <c r="C248" s="480"/>
      <c r="D248" s="35"/>
      <c r="E248" s="35"/>
      <c r="F248" s="39"/>
      <c r="G248" s="39"/>
      <c r="H248" s="39"/>
      <c r="I248" s="35"/>
      <c r="J248" s="35"/>
      <c r="K248" s="35"/>
      <c r="L248" s="415">
        <v>9321.2378620175768</v>
      </c>
      <c r="M248" s="35"/>
      <c r="N248" s="463">
        <f t="shared" si="17"/>
        <v>473921.75183008146</v>
      </c>
    </row>
    <row r="249" spans="1:14" hidden="1" outlineLevel="1">
      <c r="A249" s="422"/>
      <c r="B249" s="451">
        <v>45674</v>
      </c>
      <c r="C249" s="480"/>
      <c r="D249" s="35"/>
      <c r="E249" s="35"/>
      <c r="F249" s="39"/>
      <c r="G249" s="39"/>
      <c r="H249" s="39"/>
      <c r="I249" s="35"/>
      <c r="J249" s="35"/>
      <c r="K249" s="35"/>
      <c r="L249" s="415">
        <v>53683.19213798242</v>
      </c>
      <c r="M249" s="35"/>
      <c r="N249" s="463">
        <f t="shared" si="17"/>
        <v>420238.55969209905</v>
      </c>
    </row>
    <row r="250" spans="1:14" hidden="1" outlineLevel="1">
      <c r="A250" s="422"/>
      <c r="B250" s="451">
        <v>45677</v>
      </c>
      <c r="C250" s="480"/>
      <c r="D250" s="35"/>
      <c r="E250" s="35"/>
      <c r="F250" s="39"/>
      <c r="G250" s="39"/>
      <c r="H250" s="39"/>
      <c r="I250" s="35"/>
      <c r="J250" s="35"/>
      <c r="K250" s="35"/>
      <c r="L250" s="390">
        <v>30307.250000000004</v>
      </c>
      <c r="M250" s="35"/>
      <c r="N250" s="463">
        <f t="shared" si="17"/>
        <v>389931.30969209905</v>
      </c>
    </row>
    <row r="251" spans="1:14" hidden="1" outlineLevel="1">
      <c r="A251" s="422"/>
      <c r="B251" s="451">
        <v>45679</v>
      </c>
      <c r="C251" s="480"/>
      <c r="D251" s="35"/>
      <c r="E251" s="35"/>
      <c r="F251" s="39"/>
      <c r="G251" s="39"/>
      <c r="H251" s="39"/>
      <c r="I251" s="35"/>
      <c r="J251" s="35"/>
      <c r="K251" s="35"/>
      <c r="L251" s="390">
        <v>15007.2</v>
      </c>
      <c r="M251" s="35"/>
      <c r="N251" s="463">
        <f t="shared" si="17"/>
        <v>374924.10969209904</v>
      </c>
    </row>
    <row r="252" spans="1:14" hidden="1" outlineLevel="1">
      <c r="A252" s="422"/>
      <c r="B252" s="451">
        <v>45680</v>
      </c>
      <c r="C252" s="480"/>
      <c r="D252" s="35"/>
      <c r="E252" s="35"/>
      <c r="F252" s="39"/>
      <c r="G252" s="39"/>
      <c r="H252" s="39"/>
      <c r="I252" s="35"/>
      <c r="J252" s="35"/>
      <c r="K252" s="35"/>
      <c r="L252" s="390">
        <v>297070.26</v>
      </c>
      <c r="M252" s="35"/>
      <c r="N252" s="463">
        <f t="shared" si="17"/>
        <v>77853.849692099029</v>
      </c>
    </row>
    <row r="253" spans="1:14" hidden="1" outlineLevel="1">
      <c r="A253" s="422"/>
      <c r="B253" s="451">
        <v>45681</v>
      </c>
      <c r="C253" s="480">
        <v>1434.3</v>
      </c>
      <c r="D253" s="35"/>
      <c r="E253" s="35"/>
      <c r="F253" s="39">
        <v>7802</v>
      </c>
      <c r="G253" s="39"/>
      <c r="H253" s="39"/>
      <c r="I253" s="35"/>
      <c r="J253" s="35"/>
      <c r="K253" s="35"/>
      <c r="L253" s="390"/>
      <c r="M253" s="35"/>
      <c r="N253" s="463">
        <f t="shared" si="17"/>
        <v>77853.849692099029</v>
      </c>
    </row>
    <row r="254" spans="1:14" hidden="1" outlineLevel="1">
      <c r="A254" s="422"/>
      <c r="B254" s="451"/>
      <c r="C254" s="480"/>
      <c r="D254" s="421">
        <f>-H254/F254</f>
        <v>7.2280994076744784</v>
      </c>
      <c r="E254" s="35"/>
      <c r="F254" s="39">
        <v>-7766</v>
      </c>
      <c r="G254" s="39"/>
      <c r="H254" s="39">
        <v>56133.42</v>
      </c>
      <c r="I254" s="35"/>
      <c r="J254" s="35"/>
      <c r="K254" s="35">
        <v>36</v>
      </c>
      <c r="L254" s="390"/>
      <c r="M254" s="35"/>
      <c r="N254" s="463">
        <f t="shared" si="17"/>
        <v>133987.26969209901</v>
      </c>
    </row>
    <row r="255" spans="1:14" ht="14.25" hidden="1" outlineLevel="1" thickBot="1">
      <c r="A255" s="422"/>
      <c r="B255" s="510"/>
      <c r="C255" s="511"/>
      <c r="D255" s="511"/>
      <c r="E255" s="511"/>
      <c r="F255" s="512"/>
      <c r="G255" s="512"/>
      <c r="H255" s="513"/>
      <c r="I255" s="513"/>
      <c r="J255" s="513"/>
      <c r="K255" s="512"/>
      <c r="L255" s="514"/>
      <c r="M255" s="515"/>
      <c r="N255" s="872">
        <f>N254</f>
        <v>133987.26969209901</v>
      </c>
    </row>
    <row r="256" spans="1:14" hidden="1" outlineLevel="1" collapsed="1">
      <c r="A256" s="422"/>
      <c r="B256" s="451">
        <v>45699</v>
      </c>
      <c r="C256" s="480">
        <v>1447.4</v>
      </c>
      <c r="D256" s="35"/>
      <c r="E256" s="35"/>
      <c r="F256" s="39">
        <v>44595</v>
      </c>
      <c r="G256" s="39"/>
      <c r="H256" s="39"/>
      <c r="I256" s="35"/>
      <c r="J256" s="35"/>
      <c r="K256" s="35"/>
      <c r="L256" s="390"/>
      <c r="M256" s="35"/>
      <c r="N256" s="463">
        <f t="shared" ref="N256:N261" si="18">N255+H256+J256-L256</f>
        <v>133987.26969209901</v>
      </c>
    </row>
    <row r="257" spans="1:14" hidden="1" outlineLevel="1" collapsed="1">
      <c r="A257" s="422"/>
      <c r="B257" s="451"/>
      <c r="C257" s="480"/>
      <c r="D257" s="421">
        <f>-H257/F257</f>
        <v>7.2945000448994257</v>
      </c>
      <c r="E257" s="35"/>
      <c r="F257" s="39">
        <v>-44544</v>
      </c>
      <c r="G257" s="39"/>
      <c r="H257" s="39">
        <v>324926.21000000002</v>
      </c>
      <c r="I257" s="792"/>
      <c r="J257" s="35"/>
      <c r="K257" s="792">
        <v>51</v>
      </c>
      <c r="L257" s="390"/>
      <c r="M257" s="35"/>
      <c r="N257" s="463">
        <f t="shared" si="18"/>
        <v>458913.47969209903</v>
      </c>
    </row>
    <row r="258" spans="1:14" hidden="1" outlineLevel="1" collapsed="1">
      <c r="A258" s="422"/>
      <c r="B258" s="451">
        <v>45702</v>
      </c>
      <c r="C258" s="364"/>
      <c r="D258" s="35"/>
      <c r="E258" s="35"/>
      <c r="F258" s="39"/>
      <c r="G258" s="39"/>
      <c r="H258" s="39"/>
      <c r="I258" s="792"/>
      <c r="J258" s="35"/>
      <c r="K258" s="35"/>
      <c r="L258" s="390">
        <v>25834.799999999999</v>
      </c>
      <c r="M258" s="35"/>
      <c r="N258" s="463">
        <f t="shared" si="18"/>
        <v>433078.67969209905</v>
      </c>
    </row>
    <row r="259" spans="1:14" hidden="1" outlineLevel="1">
      <c r="A259" s="422"/>
      <c r="B259" s="451">
        <v>45708</v>
      </c>
      <c r="C259" s="480"/>
      <c r="D259" s="35"/>
      <c r="E259" s="35"/>
      <c r="F259" s="39"/>
      <c r="G259" s="39"/>
      <c r="H259" s="39"/>
      <c r="I259" s="35"/>
      <c r="J259" s="35"/>
      <c r="K259" s="35"/>
      <c r="L259" s="415">
        <v>52045.617862017556</v>
      </c>
      <c r="M259" s="35"/>
      <c r="N259" s="463">
        <f t="shared" si="18"/>
        <v>381033.06183008151</v>
      </c>
    </row>
    <row r="260" spans="1:14" hidden="1" outlineLevel="1">
      <c r="A260" s="422"/>
      <c r="B260" s="451">
        <v>45708</v>
      </c>
      <c r="C260" s="480"/>
      <c r="D260" s="35"/>
      <c r="E260" s="35"/>
      <c r="F260" s="39"/>
      <c r="G260" s="39"/>
      <c r="H260" s="39"/>
      <c r="I260" s="35"/>
      <c r="J260" s="35"/>
      <c r="K260" s="35"/>
      <c r="L260" s="415">
        <v>56133.42</v>
      </c>
      <c r="M260" s="35"/>
      <c r="N260" s="463">
        <f t="shared" si="18"/>
        <v>324899.64183008153</v>
      </c>
    </row>
    <row r="261" spans="1:14" hidden="1" outlineLevel="1">
      <c r="A261" s="422"/>
      <c r="B261" s="451">
        <v>45708</v>
      </c>
      <c r="C261" s="480"/>
      <c r="D261" s="35"/>
      <c r="E261" s="35"/>
      <c r="F261" s="39"/>
      <c r="G261" s="39"/>
      <c r="H261" s="39"/>
      <c r="I261" s="35"/>
      <c r="J261" s="35"/>
      <c r="K261" s="35"/>
      <c r="L261" s="415">
        <v>224069.76000000001</v>
      </c>
      <c r="M261" s="35"/>
      <c r="N261" s="463">
        <f t="shared" si="18"/>
        <v>100829.88183008152</v>
      </c>
    </row>
    <row r="262" spans="1:14" ht="14.25" hidden="1" outlineLevel="1" thickBot="1">
      <c r="A262" s="422"/>
      <c r="B262" s="510"/>
      <c r="C262" s="511"/>
      <c r="D262" s="511"/>
      <c r="E262" s="511"/>
      <c r="F262" s="512"/>
      <c r="G262" s="512"/>
      <c r="H262" s="513"/>
      <c r="I262" s="513"/>
      <c r="J262" s="513"/>
      <c r="K262" s="512"/>
      <c r="L262" s="514"/>
      <c r="M262" s="515"/>
      <c r="N262" s="872">
        <f>N261</f>
        <v>100829.88183008152</v>
      </c>
    </row>
    <row r="263" spans="1:14" hidden="1" outlineLevel="1" collapsed="1">
      <c r="A263" s="422"/>
      <c r="B263" s="451">
        <v>45727</v>
      </c>
      <c r="C263" s="480">
        <v>1446.3</v>
      </c>
      <c r="D263" s="35"/>
      <c r="E263" s="35"/>
      <c r="F263" s="39">
        <v>48003</v>
      </c>
      <c r="G263" s="39"/>
      <c r="H263" s="39"/>
      <c r="I263" s="35"/>
      <c r="J263" s="35"/>
      <c r="K263" s="35"/>
      <c r="L263" s="390"/>
      <c r="M263" s="35"/>
      <c r="N263" s="463">
        <f t="shared" ref="N263:N268" si="19">N262+H263+J263-L263</f>
        <v>100829.88183008152</v>
      </c>
    </row>
    <row r="264" spans="1:14" hidden="1" outlineLevel="1" collapsed="1">
      <c r="A264" s="422"/>
      <c r="B264" s="451"/>
      <c r="C264" s="480"/>
      <c r="D264" s="421">
        <f>-H264/F264</f>
        <v>7.2178000917584253</v>
      </c>
      <c r="E264" s="35"/>
      <c r="F264" s="39">
        <v>-47952</v>
      </c>
      <c r="G264" s="39"/>
      <c r="H264" s="39">
        <v>346107.95</v>
      </c>
      <c r="I264" s="792"/>
      <c r="J264" s="35"/>
      <c r="K264" s="792">
        <v>51</v>
      </c>
      <c r="L264" s="390"/>
      <c r="M264" s="35"/>
      <c r="N264" s="463">
        <f t="shared" si="19"/>
        <v>446937.83183008153</v>
      </c>
    </row>
    <row r="265" spans="1:14" hidden="1" outlineLevel="1" collapsed="1">
      <c r="A265" s="422"/>
      <c r="B265" s="451">
        <v>45733</v>
      </c>
      <c r="C265" s="364"/>
      <c r="D265" s="35"/>
      <c r="E265" s="35"/>
      <c r="F265" s="39"/>
      <c r="G265" s="39"/>
      <c r="H265" s="39"/>
      <c r="I265" s="792"/>
      <c r="J265" s="35"/>
      <c r="K265" s="35"/>
      <c r="L265" s="390">
        <v>26882.799999999999</v>
      </c>
      <c r="M265" s="35"/>
      <c r="N265" s="463">
        <f t="shared" si="19"/>
        <v>420055.03183008154</v>
      </c>
    </row>
    <row r="266" spans="1:14" hidden="1" outlineLevel="1">
      <c r="A266" s="422"/>
      <c r="B266" s="451">
        <v>45737</v>
      </c>
      <c r="C266" s="480"/>
      <c r="D266" s="35"/>
      <c r="E266" s="35"/>
      <c r="F266" s="39"/>
      <c r="G266" s="39"/>
      <c r="H266" s="39"/>
      <c r="I266" s="35">
        <v>14.17</v>
      </c>
      <c r="J266" s="35">
        <v>103.37</v>
      </c>
      <c r="K266" s="35"/>
      <c r="L266" s="415">
        <v>74077.06</v>
      </c>
      <c r="M266" s="35"/>
      <c r="N266" s="463">
        <f t="shared" si="19"/>
        <v>346081.34183008154</v>
      </c>
    </row>
    <row r="267" spans="1:14" hidden="1" outlineLevel="1">
      <c r="A267" s="422"/>
      <c r="B267" s="451">
        <v>45737</v>
      </c>
      <c r="C267" s="480"/>
      <c r="D267" s="35"/>
      <c r="E267" s="35"/>
      <c r="F267" s="39"/>
      <c r="G267" s="39"/>
      <c r="H267" s="39"/>
      <c r="I267" s="35"/>
      <c r="J267" s="35"/>
      <c r="K267" s="35"/>
      <c r="L267" s="415">
        <v>77221.61</v>
      </c>
      <c r="M267" s="35"/>
      <c r="N267" s="463">
        <f t="shared" si="19"/>
        <v>268859.73183008155</v>
      </c>
    </row>
    <row r="268" spans="1:14" hidden="1" outlineLevel="1">
      <c r="A268" s="422"/>
      <c r="B268" s="451">
        <v>45740</v>
      </c>
      <c r="C268" s="480"/>
      <c r="D268" s="35"/>
      <c r="E268" s="35"/>
      <c r="F268" s="39"/>
      <c r="G268" s="39"/>
      <c r="H268" s="39"/>
      <c r="I268" s="35"/>
      <c r="J268" s="35"/>
      <c r="K268" s="35"/>
      <c r="L268" s="390">
        <v>216493.32</v>
      </c>
      <c r="M268" s="35"/>
      <c r="N268" s="463">
        <f t="shared" si="19"/>
        <v>52366.411830081546</v>
      </c>
    </row>
    <row r="269" spans="1:14" ht="14.25" hidden="1" outlineLevel="1" thickBot="1">
      <c r="A269" s="422"/>
      <c r="B269" s="510"/>
      <c r="C269" s="511"/>
      <c r="D269" s="511"/>
      <c r="E269" s="511"/>
      <c r="F269" s="512"/>
      <c r="G269" s="512"/>
      <c r="H269" s="513"/>
      <c r="I269" s="513"/>
      <c r="J269" s="513"/>
      <c r="K269" s="512"/>
      <c r="L269" s="514"/>
      <c r="M269" s="515"/>
      <c r="N269" s="872">
        <f>N268</f>
        <v>52366.411830081546</v>
      </c>
    </row>
    <row r="270" spans="1:14" hidden="1" outlineLevel="1" collapsed="1">
      <c r="A270" s="422"/>
      <c r="B270" s="451">
        <v>45757</v>
      </c>
      <c r="C270" s="480">
        <v>1482.9</v>
      </c>
      <c r="D270" s="35"/>
      <c r="E270" s="35"/>
      <c r="F270" s="39">
        <v>55191</v>
      </c>
      <c r="G270" s="39"/>
      <c r="H270" s="39"/>
      <c r="I270" s="35"/>
      <c r="J270" s="35"/>
      <c r="K270" s="35"/>
      <c r="L270" s="390"/>
      <c r="M270" s="35"/>
      <c r="N270" s="463">
        <f t="shared" ref="N270:N276" si="20">N269+H270+J270-L270</f>
        <v>52366.411830081546</v>
      </c>
    </row>
    <row r="271" spans="1:14" hidden="1" outlineLevel="1">
      <c r="A271" s="422"/>
      <c r="B271" s="451">
        <v>45757</v>
      </c>
      <c r="C271" s="480"/>
      <c r="D271" s="421">
        <f>-H271/F271</f>
        <v>7.329200050755901</v>
      </c>
      <c r="E271" s="35"/>
      <c r="F271" s="39">
        <v>-55166</v>
      </c>
      <c r="G271" s="39"/>
      <c r="H271" s="39">
        <v>404322.65</v>
      </c>
      <c r="I271" s="792"/>
      <c r="J271" s="35"/>
      <c r="K271" s="1288">
        <v>25</v>
      </c>
      <c r="L271" s="390"/>
      <c r="M271" s="35"/>
      <c r="N271" s="463">
        <f t="shared" si="20"/>
        <v>456689.06183008157</v>
      </c>
    </row>
    <row r="272" spans="1:14" hidden="1" outlineLevel="1">
      <c r="A272" s="422"/>
      <c r="B272" s="451">
        <v>45757</v>
      </c>
      <c r="C272" s="364"/>
      <c r="D272" s="35"/>
      <c r="E272" s="35"/>
      <c r="F272" s="39"/>
      <c r="G272" s="39"/>
      <c r="H272" s="39"/>
      <c r="I272" s="792"/>
      <c r="J272" s="35"/>
      <c r="K272" s="35"/>
      <c r="L272" s="390">
        <v>52250.879999999997</v>
      </c>
      <c r="M272" s="35"/>
      <c r="N272" s="463">
        <f t="shared" si="20"/>
        <v>404438.18183008156</v>
      </c>
    </row>
    <row r="273" spans="1:14" hidden="1" outlineLevel="1">
      <c r="B273" s="451">
        <v>45762</v>
      </c>
      <c r="C273" s="480"/>
      <c r="D273" s="35"/>
      <c r="E273" s="35"/>
      <c r="F273" s="39"/>
      <c r="G273" s="39"/>
      <c r="H273" s="39"/>
      <c r="I273" s="35"/>
      <c r="J273" s="35"/>
      <c r="K273" s="35"/>
      <c r="L273" s="415">
        <v>142.16688835865955</v>
      </c>
      <c r="M273" s="35"/>
      <c r="N273" s="463">
        <f t="shared" si="20"/>
        <v>404296.01494172291</v>
      </c>
    </row>
    <row r="274" spans="1:14" hidden="1" outlineLevel="1">
      <c r="B274" s="451">
        <v>45762</v>
      </c>
      <c r="C274" s="480"/>
      <c r="D274" s="35"/>
      <c r="E274" s="35"/>
      <c r="F274" s="39"/>
      <c r="G274" s="39"/>
      <c r="H274" s="39"/>
      <c r="I274" s="35"/>
      <c r="J274" s="35"/>
      <c r="K274" s="35"/>
      <c r="L274" s="415">
        <v>26525.63</v>
      </c>
      <c r="M274" s="35"/>
      <c r="N274" s="463">
        <f t="shared" si="20"/>
        <v>377770.38494172291</v>
      </c>
    </row>
    <row r="275" spans="1:14" hidden="1" outlineLevel="1">
      <c r="B275" s="451">
        <v>45768</v>
      </c>
      <c r="C275" s="480"/>
      <c r="D275" s="35"/>
      <c r="E275" s="35"/>
      <c r="F275" s="39"/>
      <c r="G275" s="39"/>
      <c r="H275" s="39"/>
      <c r="I275" s="35"/>
      <c r="J275" s="35"/>
      <c r="K275" s="35"/>
      <c r="L275" s="390">
        <v>131386.59000000003</v>
      </c>
      <c r="M275" s="35"/>
      <c r="N275" s="463">
        <f t="shared" si="20"/>
        <v>246383.79494172288</v>
      </c>
    </row>
    <row r="276" spans="1:14" hidden="1" outlineLevel="1">
      <c r="B276" s="451">
        <v>45772</v>
      </c>
      <c r="C276" s="480"/>
      <c r="D276" s="35"/>
      <c r="E276" s="35"/>
      <c r="F276" s="39"/>
      <c r="G276" s="39"/>
      <c r="H276" s="39"/>
      <c r="I276" s="35"/>
      <c r="J276" s="35"/>
      <c r="K276" s="35"/>
      <c r="L276" s="390">
        <v>201332.73</v>
      </c>
      <c r="M276" s="35"/>
      <c r="N276" s="463">
        <f t="shared" si="20"/>
        <v>45051.064941722871</v>
      </c>
    </row>
    <row r="277" spans="1:14" ht="14.25" hidden="1" outlineLevel="1" thickBot="1">
      <c r="B277" s="510"/>
      <c r="C277" s="511"/>
      <c r="D277" s="511"/>
      <c r="E277" s="511"/>
      <c r="F277" s="512"/>
      <c r="G277" s="512"/>
      <c r="H277" s="513"/>
      <c r="I277" s="513"/>
      <c r="J277" s="513"/>
      <c r="K277" s="512"/>
      <c r="L277" s="514"/>
      <c r="M277" s="515"/>
      <c r="N277" s="872">
        <f>N276</f>
        <v>45051.064941722871</v>
      </c>
    </row>
    <row r="278" spans="1:14" hidden="1" outlineLevel="1" collapsed="1">
      <c r="A278" s="422"/>
      <c r="B278" s="451">
        <v>45790</v>
      </c>
      <c r="C278" s="480">
        <v>1405.6</v>
      </c>
      <c r="D278" s="35"/>
      <c r="E278" s="35"/>
      <c r="F278" s="364">
        <v>47916</v>
      </c>
      <c r="G278" s="39"/>
      <c r="H278" s="39"/>
      <c r="I278" s="35"/>
      <c r="J278" s="35"/>
      <c r="K278" s="35"/>
      <c r="L278" s="390"/>
      <c r="M278" s="35"/>
      <c r="N278" s="463">
        <f t="shared" ref="N278:N284" si="21">N277+H278+J278-L278</f>
        <v>45051.064941722871</v>
      </c>
    </row>
    <row r="279" spans="1:14" hidden="1" outlineLevel="1">
      <c r="A279" s="422"/>
      <c r="B279" s="451">
        <v>45790</v>
      </c>
      <c r="C279" s="480"/>
      <c r="D279" s="421">
        <f>-H279/F279</f>
        <v>7.1803000104460457</v>
      </c>
      <c r="E279" s="35"/>
      <c r="F279" s="39">
        <v>-47865</v>
      </c>
      <c r="G279" s="39"/>
      <c r="H279" s="39">
        <v>343685.06</v>
      </c>
      <c r="I279" s="792"/>
      <c r="J279" s="35"/>
      <c r="K279" s="792">
        <v>51</v>
      </c>
      <c r="L279" s="390"/>
      <c r="M279" s="35"/>
      <c r="N279" s="463">
        <f t="shared" si="21"/>
        <v>388736.12494172284</v>
      </c>
    </row>
    <row r="280" spans="1:14" hidden="1" outlineLevel="1">
      <c r="A280" s="422"/>
      <c r="B280" s="451">
        <v>45792</v>
      </c>
      <c r="C280" s="364"/>
      <c r="D280" s="35"/>
      <c r="E280" s="35"/>
      <c r="F280" s="39"/>
      <c r="G280" s="39"/>
      <c r="H280" s="39"/>
      <c r="I280" s="792"/>
      <c r="J280" s="35"/>
      <c r="K280" s="35"/>
      <c r="L280" s="35">
        <v>26706.799999999999</v>
      </c>
      <c r="M280" s="35"/>
      <c r="N280" s="463">
        <f t="shared" si="21"/>
        <v>362029.32494172285</v>
      </c>
    </row>
    <row r="281" spans="1:14" hidden="1" outlineLevel="1">
      <c r="B281" s="451">
        <v>45796</v>
      </c>
      <c r="C281" s="480"/>
      <c r="D281" s="35"/>
      <c r="E281" s="35"/>
      <c r="F281" s="39"/>
      <c r="G281" s="39"/>
      <c r="H281" s="39"/>
      <c r="I281" s="35"/>
      <c r="J281" s="35"/>
      <c r="K281" s="35"/>
      <c r="L281" s="415">
        <v>18370.900000000001</v>
      </c>
      <c r="M281" s="35"/>
      <c r="N281" s="463">
        <f t="shared" si="21"/>
        <v>343658.42494172283</v>
      </c>
    </row>
    <row r="282" spans="1:14" hidden="1" outlineLevel="1">
      <c r="B282" s="451">
        <v>45796</v>
      </c>
      <c r="C282" s="480"/>
      <c r="D282" s="35"/>
      <c r="E282" s="35"/>
      <c r="F282" s="39"/>
      <c r="G282" s="39"/>
      <c r="H282" s="39"/>
      <c r="I282" s="35"/>
      <c r="J282" s="35"/>
      <c r="K282" s="35"/>
      <c r="L282" s="415">
        <v>43397.79</v>
      </c>
      <c r="M282" s="35"/>
      <c r="N282" s="463">
        <f t="shared" si="21"/>
        <v>300260.63494172285</v>
      </c>
    </row>
    <row r="283" spans="1:14" hidden="1" outlineLevel="1">
      <c r="B283" s="451">
        <v>45797</v>
      </c>
      <c r="C283" s="480"/>
      <c r="D283" s="35"/>
      <c r="E283" s="35"/>
      <c r="F283" s="39"/>
      <c r="G283" s="39"/>
      <c r="H283" s="39"/>
      <c r="I283" s="35"/>
      <c r="J283" s="35"/>
      <c r="K283" s="35"/>
      <c r="L283" s="390">
        <v>35422.560000000005</v>
      </c>
      <c r="M283" s="35"/>
      <c r="N283" s="463">
        <f t="shared" si="21"/>
        <v>264838.07494172285</v>
      </c>
    </row>
    <row r="284" spans="1:14" hidden="1" outlineLevel="1">
      <c r="B284" s="451">
        <v>45800</v>
      </c>
      <c r="C284" s="480"/>
      <c r="D284" s="35"/>
      <c r="E284" s="35"/>
      <c r="F284" s="39"/>
      <c r="G284" s="39"/>
      <c r="H284" s="39"/>
      <c r="I284" s="35"/>
      <c r="J284" s="35"/>
      <c r="K284" s="35"/>
      <c r="L284" s="390">
        <v>223171.32</v>
      </c>
      <c r="M284" s="35"/>
      <c r="N284" s="463">
        <f t="shared" si="21"/>
        <v>41666.754941722844</v>
      </c>
    </row>
    <row r="285" spans="1:14" ht="14.25" hidden="1" outlineLevel="1" thickBot="1">
      <c r="B285" s="510"/>
      <c r="C285" s="511"/>
      <c r="D285" s="511"/>
      <c r="E285" s="511"/>
      <c r="F285" s="512"/>
      <c r="G285" s="512"/>
      <c r="H285" s="513"/>
      <c r="I285" s="513"/>
      <c r="J285" s="513"/>
      <c r="K285" s="512"/>
      <c r="L285" s="514"/>
      <c r="M285" s="515"/>
      <c r="N285" s="872">
        <f>N284</f>
        <v>41666.754941722844</v>
      </c>
    </row>
    <row r="286" spans="1:14" collapsed="1">
      <c r="A286" s="422"/>
      <c r="B286" s="451">
        <v>45811</v>
      </c>
      <c r="C286" s="480"/>
      <c r="D286" s="35"/>
      <c r="E286" s="35"/>
      <c r="F286" s="39"/>
      <c r="G286" s="39"/>
      <c r="H286" s="39"/>
      <c r="I286" s="35"/>
      <c r="J286" s="35"/>
      <c r="K286" s="35"/>
      <c r="L286" s="390">
        <v>31167.200000000001</v>
      </c>
      <c r="M286" s="35"/>
      <c r="N286" s="463">
        <f>N285+H286+J286-L286</f>
        <v>10499.554941722843</v>
      </c>
    </row>
    <row r="287" spans="1:14" collapsed="1">
      <c r="A287" s="422"/>
      <c r="B287" s="451">
        <v>45820</v>
      </c>
      <c r="C287" s="480"/>
      <c r="D287" s="35"/>
      <c r="E287" s="35"/>
      <c r="F287" s="39"/>
      <c r="G287" s="39"/>
      <c r="H287" s="39"/>
      <c r="I287" s="35"/>
      <c r="J287" s="35"/>
      <c r="K287" s="35"/>
      <c r="L287" s="390">
        <v>2907.2</v>
      </c>
      <c r="M287" s="35"/>
      <c r="N287" s="463">
        <f t="shared" ref="N287:N293" si="22">N286+H287+J287-L287</f>
        <v>7592.3549417228433</v>
      </c>
    </row>
    <row r="288" spans="1:14" collapsed="1">
      <c r="A288" s="422"/>
      <c r="B288" s="451">
        <v>45820</v>
      </c>
      <c r="C288" s="480">
        <v>1358.9</v>
      </c>
      <c r="D288" s="35"/>
      <c r="E288" s="35"/>
      <c r="F288" s="39">
        <v>93704</v>
      </c>
      <c r="G288" s="39"/>
      <c r="H288" s="39"/>
      <c r="I288" s="35"/>
      <c r="J288" s="35"/>
      <c r="K288" s="35"/>
      <c r="L288" s="390"/>
      <c r="M288" s="35"/>
      <c r="N288" s="463">
        <f t="shared" si="22"/>
        <v>7592.3549417228433</v>
      </c>
    </row>
    <row r="289" spans="1:14">
      <c r="A289" s="422"/>
      <c r="B289" s="451">
        <v>45820</v>
      </c>
      <c r="C289" s="480"/>
      <c r="D289" s="421">
        <f>-H289/F289</f>
        <v>7.174900003203315</v>
      </c>
      <c r="E289" s="35"/>
      <c r="F289" s="39">
        <v>-93653</v>
      </c>
      <c r="G289" s="39"/>
      <c r="H289" s="39">
        <v>671950.91</v>
      </c>
      <c r="I289" s="792"/>
      <c r="J289" s="35"/>
      <c r="K289" s="792">
        <v>51</v>
      </c>
      <c r="L289" s="390"/>
      <c r="M289" s="35"/>
      <c r="N289" s="463">
        <f t="shared" si="22"/>
        <v>679543.26494172285</v>
      </c>
    </row>
    <row r="290" spans="1:14">
      <c r="A290" s="422"/>
      <c r="B290" s="451">
        <v>45821</v>
      </c>
      <c r="C290" s="364"/>
      <c r="D290" s="35"/>
      <c r="E290" s="35"/>
      <c r="F290" s="39"/>
      <c r="G290" s="39"/>
      <c r="H290" s="39"/>
      <c r="I290" s="792"/>
      <c r="J290" s="35"/>
      <c r="K290" s="35"/>
      <c r="L290" s="415">
        <v>7618.9804395842475</v>
      </c>
      <c r="M290" s="35"/>
      <c r="N290" s="463">
        <f t="shared" si="22"/>
        <v>671924.28450213862</v>
      </c>
    </row>
    <row r="291" spans="1:14">
      <c r="B291" s="451">
        <v>45821</v>
      </c>
      <c r="C291" s="480"/>
      <c r="D291" s="35"/>
      <c r="E291" s="35"/>
      <c r="F291" s="39"/>
      <c r="G291" s="39"/>
      <c r="H291" s="39"/>
      <c r="I291" s="35"/>
      <c r="J291" s="35"/>
      <c r="K291" s="35"/>
      <c r="L291" s="415">
        <v>22529.82</v>
      </c>
      <c r="M291" s="35"/>
      <c r="N291" s="463">
        <f t="shared" si="22"/>
        <v>649394.46450213867</v>
      </c>
    </row>
    <row r="292" spans="1:14">
      <c r="B292" s="451">
        <v>45828</v>
      </c>
      <c r="C292" s="480"/>
      <c r="D292" s="35"/>
      <c r="E292" s="35"/>
      <c r="F292" s="39"/>
      <c r="G292" s="39"/>
      <c r="H292" s="39"/>
      <c r="I292" s="35"/>
      <c r="J292" s="35"/>
      <c r="K292" s="35"/>
      <c r="L292" s="390">
        <v>648371.54</v>
      </c>
      <c r="M292" s="35"/>
      <c r="N292" s="463">
        <f t="shared" si="22"/>
        <v>1022.9245021386305</v>
      </c>
    </row>
    <row r="293" spans="1:14">
      <c r="B293" s="451">
        <v>45831</v>
      </c>
      <c r="C293" s="480"/>
      <c r="D293" s="35"/>
      <c r="E293" s="35"/>
      <c r="F293" s="39"/>
      <c r="G293" s="39"/>
      <c r="H293" s="39"/>
      <c r="I293" s="1289">
        <v>8.2091736433543918</v>
      </c>
      <c r="J293" s="35">
        <v>58.9</v>
      </c>
      <c r="K293" s="35"/>
      <c r="L293" s="390">
        <v>1081.82</v>
      </c>
      <c r="M293" s="35"/>
      <c r="N293" s="463">
        <f t="shared" si="22"/>
        <v>4.5021386306416389E-3</v>
      </c>
    </row>
    <row r="294" spans="1:14" ht="14.25" thickBot="1">
      <c r="B294" s="510"/>
      <c r="C294" s="511"/>
      <c r="D294" s="511"/>
      <c r="E294" s="511"/>
      <c r="F294" s="512"/>
      <c r="G294" s="512"/>
      <c r="H294" s="513"/>
      <c r="I294" s="513"/>
      <c r="J294" s="513"/>
      <c r="K294" s="512"/>
      <c r="L294" s="514"/>
      <c r="M294" s="515"/>
      <c r="N294" s="872">
        <f>N293</f>
        <v>4.5021386306416389E-3</v>
      </c>
    </row>
    <row r="297" spans="1:14">
      <c r="B297" s="615" t="s">
        <v>1338</v>
      </c>
      <c r="N297" s="398"/>
    </row>
    <row r="298" spans="1:14">
      <c r="B298" s="464" t="e">
        <f>'26.05'!L14</f>
        <v>#REF!</v>
      </c>
      <c r="C298" s="1467" t="s">
        <v>864</v>
      </c>
      <c r="D298" s="1468"/>
    </row>
    <row r="299" spans="1:14">
      <c r="B299" s="464">
        <v>2120694.7999999998</v>
      </c>
      <c r="C299" s="1467" t="s">
        <v>1341</v>
      </c>
      <c r="D299" s="1468"/>
      <c r="E299" s="969" t="e">
        <f>B298+B299</f>
        <v>#REF!</v>
      </c>
    </row>
    <row r="300" spans="1:14">
      <c r="B300" s="464">
        <v>11157</v>
      </c>
      <c r="C300" s="769" t="s">
        <v>1316</v>
      </c>
      <c r="D300" s="770"/>
      <c r="E300" s="969" t="e">
        <f>E299*3%</f>
        <v>#REF!</v>
      </c>
    </row>
    <row r="301" spans="1:14">
      <c r="B301" s="465">
        <v>0.03</v>
      </c>
      <c r="C301" s="1466" t="s">
        <v>865</v>
      </c>
      <c r="D301" s="1466"/>
    </row>
    <row r="302" spans="1:14">
      <c r="B302" s="464" t="e">
        <f>ROUND(SUM(B298:B300)*1.03,0)</f>
        <v>#REF!</v>
      </c>
      <c r="C302" s="1466" t="s">
        <v>866</v>
      </c>
      <c r="D302" s="1466"/>
    </row>
    <row r="303" spans="1:14">
      <c r="B303" s="464" t="e">
        <f>B302</f>
        <v>#REF!</v>
      </c>
      <c r="C303" s="1466" t="s">
        <v>867</v>
      </c>
      <c r="D303" s="1466"/>
    </row>
    <row r="304" spans="1:14">
      <c r="B304" s="464" t="e">
        <f>B302*0.1</f>
        <v>#REF!</v>
      </c>
      <c r="C304" s="1466" t="s">
        <v>868</v>
      </c>
      <c r="D304" s="1466"/>
    </row>
    <row r="305" spans="2:15">
      <c r="B305" s="464" t="e">
        <f>B303+B304</f>
        <v>#REF!</v>
      </c>
      <c r="C305" s="1466" t="s">
        <v>869</v>
      </c>
      <c r="D305" s="1466"/>
    </row>
    <row r="307" spans="2:15">
      <c r="B307" s="1464" t="s">
        <v>1139</v>
      </c>
      <c r="C307" s="1464"/>
      <c r="D307" s="472" t="s">
        <v>1133</v>
      </c>
      <c r="E307" s="472" t="s">
        <v>1140</v>
      </c>
      <c r="F307" s="472" t="s">
        <v>1181</v>
      </c>
      <c r="G307" s="472" t="s">
        <v>1273</v>
      </c>
      <c r="H307" s="472" t="s">
        <v>1296</v>
      </c>
      <c r="I307" s="472" t="s">
        <v>1314</v>
      </c>
      <c r="J307" s="472" t="s">
        <v>1339</v>
      </c>
      <c r="K307" s="472" t="s">
        <v>1370</v>
      </c>
      <c r="L307" s="472" t="s">
        <v>1371</v>
      </c>
      <c r="M307" s="472" t="s">
        <v>1382</v>
      </c>
      <c r="N307" s="472" t="s">
        <v>1391</v>
      </c>
      <c r="O307" s="472" t="s">
        <v>1408</v>
      </c>
    </row>
    <row r="308" spans="2:15">
      <c r="B308" s="1462" t="s">
        <v>864</v>
      </c>
      <c r="C308" s="1462"/>
      <c r="D308" s="473">
        <v>94492650</v>
      </c>
      <c r="E308" s="473">
        <v>71189572</v>
      </c>
      <c r="F308" s="473">
        <v>73158953</v>
      </c>
      <c r="G308" s="473">
        <v>83220764</v>
      </c>
      <c r="H308" s="473">
        <v>71339322</v>
      </c>
      <c r="I308" s="473">
        <v>140297172</v>
      </c>
      <c r="J308" s="473"/>
      <c r="K308" s="473"/>
      <c r="L308" s="473"/>
      <c r="M308" s="473"/>
      <c r="N308" s="473"/>
      <c r="O308" s="473"/>
    </row>
    <row r="309" spans="2:15">
      <c r="B309" s="1462" t="s">
        <v>938</v>
      </c>
      <c r="C309" s="1462"/>
      <c r="D309" s="473">
        <v>783150</v>
      </c>
      <c r="E309" s="473">
        <v>391218.8</v>
      </c>
      <c r="F309" s="473">
        <v>653693.80000000005</v>
      </c>
      <c r="G309" s="473">
        <v>793856.3</v>
      </c>
      <c r="H309" s="473">
        <v>1270912.6000000001</v>
      </c>
      <c r="I309" s="473">
        <v>2120694.7999999998</v>
      </c>
      <c r="J309" s="473"/>
      <c r="K309" s="473"/>
      <c r="L309" s="473"/>
      <c r="M309" s="473"/>
      <c r="N309" s="473"/>
      <c r="O309" s="473"/>
    </row>
    <row r="310" spans="2:15">
      <c r="B310" s="1462" t="s">
        <v>327</v>
      </c>
      <c r="C310" s="1462"/>
      <c r="D310" s="473"/>
      <c r="E310" s="791"/>
      <c r="F310" s="473">
        <v>20510</v>
      </c>
      <c r="G310" s="473"/>
      <c r="H310" s="473"/>
      <c r="I310" s="473">
        <v>11539</v>
      </c>
      <c r="J310" s="473"/>
      <c r="K310" s="473"/>
      <c r="L310" s="473"/>
      <c r="M310" s="473"/>
      <c r="N310" s="473"/>
      <c r="O310" s="473"/>
    </row>
    <row r="311" spans="2:15">
      <c r="B311" s="1465" t="s">
        <v>939</v>
      </c>
      <c r="C311" s="1465"/>
      <c r="D311" s="474">
        <f>SUM(D308:D310)</f>
        <v>95275800</v>
      </c>
      <c r="E311" s="474">
        <f t="shared" ref="E311:N311" si="23">SUM(E308:E310)</f>
        <v>71580790.799999997</v>
      </c>
      <c r="F311" s="474">
        <f t="shared" si="23"/>
        <v>73833156.799999997</v>
      </c>
      <c r="G311" s="474">
        <f t="shared" si="23"/>
        <v>84014620.299999997</v>
      </c>
      <c r="H311" s="474">
        <f t="shared" si="23"/>
        <v>72610234.599999994</v>
      </c>
      <c r="I311" s="474">
        <f t="shared" si="23"/>
        <v>142429405.80000001</v>
      </c>
      <c r="J311" s="474">
        <f t="shared" si="23"/>
        <v>0</v>
      </c>
      <c r="K311" s="474">
        <f t="shared" si="23"/>
        <v>0</v>
      </c>
      <c r="L311" s="474">
        <f t="shared" si="23"/>
        <v>0</v>
      </c>
      <c r="M311" s="474">
        <f t="shared" si="23"/>
        <v>0</v>
      </c>
      <c r="N311" s="474">
        <f t="shared" si="23"/>
        <v>0</v>
      </c>
      <c r="O311" s="474">
        <f>SUM(O308:O310)</f>
        <v>0</v>
      </c>
    </row>
    <row r="312" spans="2:15">
      <c r="B312" s="1462" t="s">
        <v>865</v>
      </c>
      <c r="C312" s="1462"/>
      <c r="D312" s="475">
        <v>0.03</v>
      </c>
      <c r="E312" s="475">
        <v>0.03</v>
      </c>
      <c r="F312" s="475">
        <v>0.03</v>
      </c>
      <c r="G312" s="475">
        <v>0.03</v>
      </c>
      <c r="H312" s="475">
        <v>0.03</v>
      </c>
      <c r="I312" s="475">
        <v>0.03</v>
      </c>
      <c r="J312" s="475">
        <v>0.03</v>
      </c>
      <c r="K312" s="475">
        <v>0.03</v>
      </c>
      <c r="L312" s="475">
        <v>0.03</v>
      </c>
      <c r="M312" s="475">
        <v>0.03</v>
      </c>
      <c r="N312" s="475">
        <v>0.03</v>
      </c>
      <c r="O312" s="475">
        <v>0.03</v>
      </c>
    </row>
    <row r="313" spans="2:15">
      <c r="B313" s="1462" t="s">
        <v>866</v>
      </c>
      <c r="C313" s="1462"/>
      <c r="D313" s="473">
        <v>98134074</v>
      </c>
      <c r="E313" s="473">
        <v>73728215</v>
      </c>
      <c r="F313" s="473">
        <v>76048152</v>
      </c>
      <c r="G313" s="473">
        <v>86535059</v>
      </c>
      <c r="H313" s="473">
        <v>74788542</v>
      </c>
      <c r="I313" s="473">
        <v>146690403</v>
      </c>
      <c r="J313" s="473"/>
      <c r="K313" s="473"/>
      <c r="L313" s="473"/>
      <c r="M313" s="473"/>
      <c r="N313" s="473"/>
      <c r="O313" s="473"/>
    </row>
    <row r="314" spans="2:15">
      <c r="B314" s="1462" t="s">
        <v>867</v>
      </c>
      <c r="C314" s="1462"/>
      <c r="D314" s="473">
        <v>98134074</v>
      </c>
      <c r="E314" s="473">
        <v>73728215</v>
      </c>
      <c r="F314" s="473">
        <v>76048152</v>
      </c>
      <c r="G314" s="473">
        <v>86535059</v>
      </c>
      <c r="H314" s="473">
        <v>74788542</v>
      </c>
      <c r="I314" s="473">
        <v>146690403</v>
      </c>
      <c r="J314" s="473"/>
      <c r="K314" s="473"/>
      <c r="L314" s="473"/>
      <c r="M314" s="473"/>
      <c r="N314" s="473"/>
      <c r="O314" s="473"/>
    </row>
    <row r="315" spans="2:15">
      <c r="B315" s="1462" t="s">
        <v>868</v>
      </c>
      <c r="C315" s="1462"/>
      <c r="D315" s="473">
        <v>9813407.4000000004</v>
      </c>
      <c r="E315" s="473">
        <v>7372821.5</v>
      </c>
      <c r="F315" s="473">
        <v>7604815.2000000002</v>
      </c>
      <c r="G315" s="473">
        <v>8653505.9000000004</v>
      </c>
      <c r="H315" s="473">
        <v>7478854.2000000002</v>
      </c>
      <c r="I315" s="473">
        <v>14669040.300000001</v>
      </c>
      <c r="J315" s="473"/>
      <c r="K315" s="473"/>
      <c r="L315" s="473"/>
      <c r="M315" s="473"/>
      <c r="N315" s="473"/>
      <c r="O315" s="473"/>
    </row>
    <row r="316" spans="2:15">
      <c r="B316" s="1463" t="s">
        <v>869</v>
      </c>
      <c r="C316" s="1463"/>
      <c r="D316" s="476">
        <f>SUM(D314:D315)</f>
        <v>107947481.40000001</v>
      </c>
      <c r="E316" s="476">
        <f t="shared" ref="E316:N316" si="24">SUM(E314:E315)</f>
        <v>81101036.5</v>
      </c>
      <c r="F316" s="476">
        <f t="shared" si="24"/>
        <v>83652967.200000003</v>
      </c>
      <c r="G316" s="476">
        <f t="shared" si="24"/>
        <v>95188564.900000006</v>
      </c>
      <c r="H316" s="476">
        <f t="shared" si="24"/>
        <v>82267396.200000003</v>
      </c>
      <c r="I316" s="476">
        <f t="shared" si="24"/>
        <v>161359443.30000001</v>
      </c>
      <c r="J316" s="476">
        <f t="shared" si="24"/>
        <v>0</v>
      </c>
      <c r="K316" s="476">
        <f t="shared" si="24"/>
        <v>0</v>
      </c>
      <c r="L316" s="476">
        <f t="shared" si="24"/>
        <v>0</v>
      </c>
      <c r="M316" s="476">
        <f t="shared" si="24"/>
        <v>0</v>
      </c>
      <c r="N316" s="476">
        <f t="shared" si="24"/>
        <v>0</v>
      </c>
      <c r="O316" s="476">
        <f>SUM(O314:O315)</f>
        <v>0</v>
      </c>
    </row>
  </sheetData>
  <mergeCells count="23">
    <mergeCell ref="M2:N2"/>
    <mergeCell ref="B2:B3"/>
    <mergeCell ref="C2:E2"/>
    <mergeCell ref="F2:H2"/>
    <mergeCell ref="I2:J2"/>
    <mergeCell ref="K2:L2"/>
    <mergeCell ref="C298:D298"/>
    <mergeCell ref="C301:D301"/>
    <mergeCell ref="C302:D302"/>
    <mergeCell ref="C303:D303"/>
    <mergeCell ref="C299:D299"/>
    <mergeCell ref="B307:C307"/>
    <mergeCell ref="B308:C308"/>
    <mergeCell ref="B309:C309"/>
    <mergeCell ref="B311:C311"/>
    <mergeCell ref="C304:D304"/>
    <mergeCell ref="C305:D305"/>
    <mergeCell ref="B310:C310"/>
    <mergeCell ref="B315:C315"/>
    <mergeCell ref="B316:C316"/>
    <mergeCell ref="B312:C312"/>
    <mergeCell ref="B313:C313"/>
    <mergeCell ref="B314:C314"/>
  </mergeCells>
  <phoneticPr fontId="11" type="noConversion"/>
  <pageMargins left="0.7" right="0.7" top="0.75" bottom="0.75" header="0.3" footer="0.3"/>
  <pageSetup paperSize="9" scale="8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1"/>
  <sheetViews>
    <sheetView showGridLines="0" workbookViewId="0">
      <selection activeCell="I37" sqref="I37"/>
    </sheetView>
  </sheetViews>
  <sheetFormatPr defaultRowHeight="16.5"/>
  <cols>
    <col min="1" max="1" width="10" bestFit="1" customWidth="1"/>
    <col min="2" max="2" width="27" customWidth="1"/>
    <col min="3" max="3" width="12.5" customWidth="1"/>
    <col min="4" max="4" width="21.125" bestFit="1" customWidth="1"/>
    <col min="5" max="5" width="13.25" bestFit="1" customWidth="1"/>
    <col min="7" max="7" width="10.875" bestFit="1" customWidth="1"/>
    <col min="8" max="8" width="9.75" bestFit="1" customWidth="1"/>
    <col min="9" max="9" width="10.875" bestFit="1" customWidth="1"/>
    <col min="10" max="10" width="10.5" bestFit="1" customWidth="1"/>
    <col min="11" max="11" width="13.25" bestFit="1" customWidth="1"/>
    <col min="12" max="12" width="9.75" bestFit="1" customWidth="1"/>
    <col min="13" max="13" width="30.25" bestFit="1" customWidth="1"/>
  </cols>
  <sheetData>
    <row r="1" spans="1:17" ht="24">
      <c r="A1" s="1" t="s">
        <v>0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ht="17.25">
      <c r="A2" s="5" t="s">
        <v>176</v>
      </c>
      <c r="B2" s="2"/>
      <c r="C2" s="2"/>
      <c r="D2" s="5"/>
      <c r="E2" s="4">
        <v>100014054</v>
      </c>
      <c r="F2" s="7"/>
      <c r="G2" s="5" t="s">
        <v>142</v>
      </c>
      <c r="H2" s="2"/>
      <c r="I2" s="2"/>
      <c r="J2" s="5"/>
      <c r="K2" s="4">
        <v>100014040</v>
      </c>
      <c r="L2" s="4">
        <v>1200000696</v>
      </c>
      <c r="M2" s="5" t="s">
        <v>74</v>
      </c>
      <c r="N2" s="2"/>
      <c r="O2" s="2"/>
      <c r="P2" s="5"/>
      <c r="Q2" s="4">
        <v>100014046</v>
      </c>
    </row>
    <row r="3" spans="1:17" ht="24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8"/>
      <c r="G3" s="8" t="s">
        <v>6</v>
      </c>
      <c r="H3" s="8" t="s">
        <v>2</v>
      </c>
      <c r="I3" s="9" t="s">
        <v>7</v>
      </c>
      <c r="J3" s="9" t="s">
        <v>8</v>
      </c>
      <c r="K3" s="9" t="s">
        <v>9</v>
      </c>
      <c r="L3" s="10"/>
      <c r="M3" s="8" t="s">
        <v>1</v>
      </c>
      <c r="N3" s="8" t="s">
        <v>2</v>
      </c>
      <c r="O3" s="9" t="s">
        <v>3</v>
      </c>
      <c r="P3" s="9" t="s">
        <v>4</v>
      </c>
      <c r="Q3" s="9" t="s">
        <v>5</v>
      </c>
    </row>
    <row r="4" spans="1:17">
      <c r="A4" s="11" t="s">
        <v>10</v>
      </c>
      <c r="B4" s="12"/>
      <c r="C4" s="13"/>
      <c r="D4" s="13"/>
      <c r="E4" s="14"/>
      <c r="F4" s="21"/>
      <c r="G4" s="11" t="s">
        <v>10</v>
      </c>
      <c r="H4" s="12"/>
      <c r="I4" s="13"/>
      <c r="J4" s="13"/>
      <c r="K4" s="14"/>
      <c r="L4" s="15"/>
      <c r="M4" s="11" t="s">
        <v>10</v>
      </c>
      <c r="N4" s="12"/>
      <c r="O4" s="13"/>
      <c r="P4" s="13"/>
      <c r="Q4" s="14"/>
    </row>
    <row r="5" spans="1:17">
      <c r="A5" s="11" t="s">
        <v>11</v>
      </c>
      <c r="B5" s="12" t="s">
        <v>12</v>
      </c>
      <c r="C5" s="16"/>
      <c r="D5" s="13"/>
      <c r="E5" s="14"/>
      <c r="F5" s="64">
        <v>51131050</v>
      </c>
      <c r="G5" s="11" t="s">
        <v>11</v>
      </c>
      <c r="H5" s="12" t="s">
        <v>12</v>
      </c>
      <c r="I5" s="16"/>
      <c r="J5" s="13"/>
      <c r="K5" s="14"/>
      <c r="L5" s="15"/>
      <c r="M5" s="11" t="s">
        <v>11</v>
      </c>
      <c r="N5" s="12" t="s">
        <v>12</v>
      </c>
      <c r="O5" s="16"/>
      <c r="P5" s="13"/>
      <c r="Q5" s="14"/>
    </row>
    <row r="6" spans="1:17">
      <c r="A6" s="11" t="s">
        <v>13</v>
      </c>
      <c r="B6" s="12" t="s">
        <v>14</v>
      </c>
      <c r="C6" s="13"/>
      <c r="D6" s="13"/>
      <c r="E6" s="14"/>
      <c r="F6" s="64">
        <v>51061030</v>
      </c>
      <c r="G6" s="11" t="s">
        <v>13</v>
      </c>
      <c r="H6" s="12" t="s">
        <v>14</v>
      </c>
      <c r="I6" s="13"/>
      <c r="J6" s="13"/>
      <c r="K6" s="14"/>
      <c r="L6" s="15"/>
      <c r="M6" s="11" t="s">
        <v>13</v>
      </c>
      <c r="N6" s="12" t="s">
        <v>14</v>
      </c>
      <c r="O6" s="13"/>
      <c r="P6" s="13"/>
      <c r="Q6" s="14"/>
    </row>
    <row r="7" spans="1:17">
      <c r="A7" s="11" t="s">
        <v>15</v>
      </c>
      <c r="B7" s="12" t="s">
        <v>16</v>
      </c>
      <c r="C7" s="13">
        <v>19440</v>
      </c>
      <c r="D7" s="13">
        <v>3055.6210888002302</v>
      </c>
      <c r="E7" s="14">
        <v>3772163</v>
      </c>
      <c r="F7" s="64">
        <v>51201020</v>
      </c>
      <c r="G7" s="11" t="s">
        <v>15</v>
      </c>
      <c r="H7" s="12" t="s">
        <v>16</v>
      </c>
      <c r="I7" s="13"/>
      <c r="J7" s="13"/>
      <c r="K7" s="14"/>
      <c r="L7" s="15"/>
      <c r="M7" s="11" t="s">
        <v>15</v>
      </c>
      <c r="N7" s="12" t="s">
        <v>16</v>
      </c>
      <c r="O7" s="13"/>
      <c r="P7" s="13"/>
      <c r="Q7" s="14"/>
    </row>
    <row r="8" spans="1:17">
      <c r="A8" s="11" t="s">
        <v>15</v>
      </c>
      <c r="B8" s="11" t="s">
        <v>17</v>
      </c>
      <c r="C8" s="13"/>
      <c r="D8" s="13"/>
      <c r="E8" s="14"/>
      <c r="F8" s="64">
        <v>51201030</v>
      </c>
      <c r="G8" s="11" t="s">
        <v>15</v>
      </c>
      <c r="H8" s="11" t="s">
        <v>18</v>
      </c>
      <c r="I8" s="13"/>
      <c r="J8" s="13"/>
      <c r="K8" s="14"/>
      <c r="L8" s="15"/>
      <c r="M8" s="11" t="s">
        <v>15</v>
      </c>
      <c r="N8" s="11" t="s">
        <v>17</v>
      </c>
      <c r="O8" s="13"/>
      <c r="P8" s="13"/>
      <c r="Q8" s="14"/>
    </row>
    <row r="9" spans="1:17">
      <c r="A9" s="11" t="s">
        <v>19</v>
      </c>
      <c r="B9" s="11" t="s">
        <v>20</v>
      </c>
      <c r="C9" s="13"/>
      <c r="D9" s="13"/>
      <c r="E9" s="14"/>
      <c r="F9" s="64">
        <v>51071700</v>
      </c>
      <c r="G9" s="11" t="s">
        <v>19</v>
      </c>
      <c r="H9" s="11" t="s">
        <v>20</v>
      </c>
      <c r="I9" s="13"/>
      <c r="J9" s="13"/>
      <c r="K9" s="14"/>
      <c r="L9" s="15">
        <v>89500</v>
      </c>
      <c r="M9" s="11" t="s">
        <v>19</v>
      </c>
      <c r="N9" s="11" t="s">
        <v>20</v>
      </c>
      <c r="O9" s="13"/>
      <c r="P9" s="13"/>
      <c r="Q9" s="14"/>
    </row>
    <row r="10" spans="1:17">
      <c r="A10" s="11" t="s">
        <v>21</v>
      </c>
      <c r="B10" s="12"/>
      <c r="C10" s="13">
        <v>1680</v>
      </c>
      <c r="D10" s="13">
        <v>294.06602001977296</v>
      </c>
      <c r="E10" s="14">
        <v>363029</v>
      </c>
      <c r="F10" s="64">
        <v>51321010</v>
      </c>
      <c r="G10" s="11" t="s">
        <v>21</v>
      </c>
      <c r="H10" s="12"/>
      <c r="I10" s="13">
        <v>4654.536013031764</v>
      </c>
      <c r="J10" s="13">
        <v>731.61</v>
      </c>
      <c r="K10" s="14">
        <v>903173</v>
      </c>
      <c r="L10" s="15"/>
      <c r="M10" s="11" t="s">
        <v>21</v>
      </c>
      <c r="N10" s="12"/>
      <c r="O10" s="13"/>
      <c r="P10" s="13">
        <v>58</v>
      </c>
      <c r="Q10" s="14">
        <v>70661</v>
      </c>
    </row>
    <row r="11" spans="1:17">
      <c r="A11" s="55" t="s">
        <v>69</v>
      </c>
      <c r="B11" s="56"/>
      <c r="C11" s="13">
        <v>36000</v>
      </c>
      <c r="D11" s="13">
        <v>5658.5575718522778</v>
      </c>
      <c r="E11" s="14">
        <v>6985492</v>
      </c>
      <c r="F11" s="64"/>
      <c r="G11" s="11"/>
      <c r="H11" s="56"/>
      <c r="I11" s="13"/>
      <c r="J11" s="13"/>
      <c r="K11" s="14"/>
      <c r="L11" s="15"/>
      <c r="M11" s="11"/>
      <c r="N11" s="56"/>
      <c r="O11" s="13"/>
      <c r="P11" s="13"/>
      <c r="Q11" s="14"/>
    </row>
    <row r="12" spans="1:17">
      <c r="A12" s="1480" t="s">
        <v>22</v>
      </c>
      <c r="B12" s="1481"/>
      <c r="C12" s="17">
        <f>SUM(C4:C11)</f>
        <v>57120</v>
      </c>
      <c r="D12" s="17">
        <f>SUM(D4:D11)</f>
        <v>9008.2446806722801</v>
      </c>
      <c r="E12" s="18">
        <f>SUM(E4:E11)</f>
        <v>11120684</v>
      </c>
      <c r="F12" s="64">
        <v>52981010</v>
      </c>
      <c r="G12" s="1480" t="s">
        <v>22</v>
      </c>
      <c r="H12" s="1481"/>
      <c r="I12" s="17">
        <f>SUM(I4:I10)</f>
        <v>4654.536013031764</v>
      </c>
      <c r="J12" s="17">
        <f>SUM(J4:J10)</f>
        <v>731.61</v>
      </c>
      <c r="K12" s="18">
        <f>SUM(K4:K10)</f>
        <v>903173</v>
      </c>
      <c r="L12" s="15"/>
      <c r="M12" s="1480" t="s">
        <v>22</v>
      </c>
      <c r="N12" s="1481"/>
      <c r="O12" s="17">
        <f>SUM(O4:O10)</f>
        <v>0</v>
      </c>
      <c r="P12" s="17">
        <f>SUM(P4:P10)</f>
        <v>58</v>
      </c>
      <c r="Q12" s="18">
        <f>SUM(Q4:Q10)</f>
        <v>70661</v>
      </c>
    </row>
    <row r="13" spans="1:17">
      <c r="A13" s="19"/>
      <c r="B13" s="20"/>
      <c r="C13" s="97">
        <f>C12+I12++O12</f>
        <v>61774.536013031764</v>
      </c>
      <c r="D13" s="97">
        <f>D12+J12++P12</f>
        <v>9797.8546806722807</v>
      </c>
      <c r="E13" s="97">
        <f>E12+K12++Q12</f>
        <v>12094518</v>
      </c>
      <c r="F13" s="99"/>
      <c r="G13" s="22"/>
      <c r="H13" s="22"/>
      <c r="I13" s="23"/>
      <c r="J13" s="22"/>
      <c r="K13" s="22"/>
      <c r="L13" s="24"/>
      <c r="M13" s="5"/>
    </row>
    <row r="14" spans="1:17">
      <c r="A14" s="72" t="s">
        <v>23</v>
      </c>
      <c r="B14" s="73">
        <v>13081010</v>
      </c>
      <c r="C14" s="25"/>
      <c r="D14" s="25"/>
      <c r="E14" s="26"/>
      <c r="F14" s="15"/>
      <c r="G14" s="27"/>
      <c r="H14" s="28">
        <f>SUBTOTAL(9,H17:H39)</f>
        <v>35164.135013754174</v>
      </c>
      <c r="I14" s="28">
        <f>SUBTOTAL(9,I18:I39)</f>
        <v>61774.536013031764</v>
      </c>
      <c r="J14" s="28">
        <f>SUBTOTAL(9,J18:J39)</f>
        <v>9797.8546806722807</v>
      </c>
      <c r="K14" s="3"/>
      <c r="L14" s="29"/>
      <c r="M14" s="10"/>
    </row>
    <row r="15" spans="1:17">
      <c r="A15" s="1482" t="s">
        <v>24</v>
      </c>
      <c r="B15" s="1484" t="s">
        <v>25</v>
      </c>
      <c r="C15" s="1484"/>
      <c r="D15" s="1484" t="s">
        <v>26</v>
      </c>
      <c r="E15" s="1484" t="s">
        <v>27</v>
      </c>
      <c r="F15" s="1486" t="s">
        <v>28</v>
      </c>
      <c r="G15" s="1474" t="s">
        <v>29</v>
      </c>
      <c r="H15" s="1488"/>
      <c r="I15" s="1474" t="s">
        <v>30</v>
      </c>
      <c r="J15" s="1475"/>
      <c r="K15" s="1476" t="s">
        <v>31</v>
      </c>
      <c r="L15" s="1477"/>
      <c r="M15" s="1478" t="s">
        <v>32</v>
      </c>
    </row>
    <row r="16" spans="1:17">
      <c r="A16" s="1483"/>
      <c r="B16" s="1485"/>
      <c r="C16" s="1485"/>
      <c r="D16" s="1485"/>
      <c r="E16" s="1485"/>
      <c r="F16" s="1487"/>
      <c r="G16" s="30" t="s">
        <v>33</v>
      </c>
      <c r="H16" s="74" t="s">
        <v>34</v>
      </c>
      <c r="I16" s="32" t="s">
        <v>33</v>
      </c>
      <c r="J16" s="32" t="s">
        <v>35</v>
      </c>
      <c r="K16" s="80" t="s">
        <v>36</v>
      </c>
      <c r="L16" s="31" t="s">
        <v>37</v>
      </c>
      <c r="M16" s="1479"/>
    </row>
    <row r="17" spans="1:15" s="5" customFormat="1" ht="13.5" customHeight="1">
      <c r="A17" s="36">
        <v>44630</v>
      </c>
      <c r="B17" s="34" t="s">
        <v>65</v>
      </c>
      <c r="C17" s="35"/>
      <c r="D17" s="35"/>
      <c r="E17" s="33" t="s">
        <v>60</v>
      </c>
      <c r="F17" s="35"/>
      <c r="G17" s="39"/>
      <c r="H17" s="75">
        <v>7.0000000000000007E-2</v>
      </c>
      <c r="I17" s="85"/>
      <c r="J17" s="86"/>
      <c r="K17" s="101">
        <v>0.15</v>
      </c>
      <c r="L17" s="39">
        <v>7.0000000000000007E-2</v>
      </c>
      <c r="M17" s="35"/>
    </row>
    <row r="18" spans="1:15" s="5" customFormat="1" ht="13.5" customHeight="1">
      <c r="A18" s="40">
        <v>44631</v>
      </c>
      <c r="B18" s="51" t="s">
        <v>50</v>
      </c>
      <c r="C18" s="41"/>
      <c r="D18" s="42" t="s">
        <v>51</v>
      </c>
      <c r="E18" s="41"/>
      <c r="F18" s="43"/>
      <c r="G18" s="44">
        <v>62479.23</v>
      </c>
      <c r="H18" s="76">
        <v>9850.6200000000008</v>
      </c>
      <c r="I18" s="87"/>
      <c r="J18" s="88"/>
      <c r="K18" s="81">
        <f t="shared" ref="K18:K28" si="0">K17+G18-I18</f>
        <v>62479.380000000005</v>
      </c>
      <c r="L18" s="44">
        <f t="shared" ref="L18:L28" si="1">L17+H18-J18</f>
        <v>9850.69</v>
      </c>
      <c r="M18" s="41" t="s">
        <v>57</v>
      </c>
      <c r="N18" s="29">
        <v>9850.69</v>
      </c>
    </row>
    <row r="19" spans="1:15" s="5" customFormat="1" ht="13.5" customHeight="1">
      <c r="A19" s="40">
        <v>44635</v>
      </c>
      <c r="B19" s="51" t="s">
        <v>63</v>
      </c>
      <c r="C19" s="41"/>
      <c r="D19" s="42" t="s">
        <v>51</v>
      </c>
      <c r="E19" s="41" t="s">
        <v>62</v>
      </c>
      <c r="F19" s="43"/>
      <c r="G19" s="53"/>
      <c r="H19" s="76"/>
      <c r="I19" s="87"/>
      <c r="J19" s="88">
        <v>30</v>
      </c>
      <c r="K19" s="81">
        <f t="shared" si="0"/>
        <v>62479.380000000005</v>
      </c>
      <c r="L19" s="44">
        <f t="shared" si="1"/>
        <v>9820.69</v>
      </c>
      <c r="M19" s="41" t="s">
        <v>52</v>
      </c>
      <c r="N19" s="29">
        <f>N18-J19</f>
        <v>9820.69</v>
      </c>
    </row>
    <row r="20" spans="1:15" s="5" customFormat="1" ht="13.5" customHeight="1">
      <c r="A20" s="36">
        <v>44635</v>
      </c>
      <c r="B20" s="34" t="s">
        <v>53</v>
      </c>
      <c r="C20" s="33">
        <v>1</v>
      </c>
      <c r="D20" s="33" t="s">
        <v>61</v>
      </c>
      <c r="E20" s="33" t="s">
        <v>68</v>
      </c>
      <c r="F20" s="35"/>
      <c r="G20" s="39"/>
      <c r="H20" s="75"/>
      <c r="I20" s="85">
        <v>5000</v>
      </c>
      <c r="J20" s="86">
        <f>I20/'통장내역(환율표)'!$D$6</f>
        <v>785.91077386837196</v>
      </c>
      <c r="K20" s="82">
        <f t="shared" si="0"/>
        <v>57479.380000000005</v>
      </c>
      <c r="L20" s="38">
        <f t="shared" si="1"/>
        <v>9034.7792261316281</v>
      </c>
      <c r="M20" s="33" t="s">
        <v>53</v>
      </c>
      <c r="N20" s="29">
        <f>N19-J20</f>
        <v>9034.7792261316281</v>
      </c>
    </row>
    <row r="21" spans="1:15" s="5" customFormat="1" ht="13.5" customHeight="1">
      <c r="A21" s="36">
        <v>44635</v>
      </c>
      <c r="B21" s="34" t="s">
        <v>54</v>
      </c>
      <c r="C21" s="33">
        <v>1</v>
      </c>
      <c r="D21" s="33" t="s">
        <v>61</v>
      </c>
      <c r="E21" s="33" t="s">
        <v>68</v>
      </c>
      <c r="F21" s="35"/>
      <c r="G21" s="38"/>
      <c r="H21" s="77"/>
      <c r="I21" s="89">
        <v>31000</v>
      </c>
      <c r="J21" s="86">
        <f>I21/'통장내역(환율표)'!$D$6</f>
        <v>4872.6467979839063</v>
      </c>
      <c r="K21" s="82">
        <f t="shared" si="0"/>
        <v>26479.380000000005</v>
      </c>
      <c r="L21" s="38">
        <f t="shared" si="1"/>
        <v>4162.1324281477218</v>
      </c>
      <c r="M21" s="33" t="s">
        <v>54</v>
      </c>
      <c r="N21" s="29">
        <f>N20-J21</f>
        <v>4162.1324281477218</v>
      </c>
    </row>
    <row r="22" spans="1:15" s="5" customFormat="1" ht="13.5">
      <c r="A22" s="36">
        <v>44635</v>
      </c>
      <c r="B22" s="34" t="s">
        <v>66</v>
      </c>
      <c r="C22" s="33">
        <v>1</v>
      </c>
      <c r="D22" s="33" t="s">
        <v>61</v>
      </c>
      <c r="E22" s="33" t="s">
        <v>75</v>
      </c>
      <c r="F22" s="35" t="s">
        <v>76</v>
      </c>
      <c r="G22" s="38"/>
      <c r="H22" s="77"/>
      <c r="I22" s="89">
        <v>19440</v>
      </c>
      <c r="J22" s="86">
        <f>I22/'통장내역(환율표)'!$D$6</f>
        <v>3055.6210888002302</v>
      </c>
      <c r="K22" s="82">
        <f t="shared" si="0"/>
        <v>7039.3800000000047</v>
      </c>
      <c r="L22" s="38">
        <f t="shared" si="1"/>
        <v>1106.5113393474917</v>
      </c>
      <c r="M22" s="33" t="s">
        <v>67</v>
      </c>
      <c r="N22" s="29">
        <f>N21-J22</f>
        <v>1106.5113393474917</v>
      </c>
    </row>
    <row r="23" spans="1:15" s="5" customFormat="1" ht="13.5" customHeight="1">
      <c r="A23" s="36">
        <v>44641</v>
      </c>
      <c r="B23" s="34" t="s">
        <v>55</v>
      </c>
      <c r="C23" s="33"/>
      <c r="D23" s="37" t="s">
        <v>51</v>
      </c>
      <c r="E23" s="33" t="s">
        <v>72</v>
      </c>
      <c r="F23" s="35"/>
      <c r="G23" s="38">
        <v>0.35</v>
      </c>
      <c r="H23" s="77">
        <f>G23/'통장내역(환율표)'!$D$6</f>
        <v>5.5013754170786029E-2</v>
      </c>
      <c r="I23" s="89"/>
      <c r="J23" s="88"/>
      <c r="K23" s="82">
        <f t="shared" si="0"/>
        <v>7039.730000000005</v>
      </c>
      <c r="L23" s="38">
        <f t="shared" si="1"/>
        <v>1106.5663531016626</v>
      </c>
      <c r="M23" s="33" t="s">
        <v>55</v>
      </c>
      <c r="N23" s="45">
        <f>N22+H23</f>
        <v>1106.5663531016626</v>
      </c>
    </row>
    <row r="24" spans="1:15" s="5" customFormat="1" ht="13.5" customHeight="1">
      <c r="A24" s="57">
        <v>44648</v>
      </c>
      <c r="B24" s="58" t="s">
        <v>56</v>
      </c>
      <c r="C24" s="59"/>
      <c r="D24" s="60"/>
      <c r="E24" s="59"/>
      <c r="F24" s="61"/>
      <c r="G24" s="62">
        <v>27194.531999999999</v>
      </c>
      <c r="H24" s="78">
        <v>4274.5</v>
      </c>
      <c r="I24" s="90"/>
      <c r="J24" s="91"/>
      <c r="K24" s="83">
        <f t="shared" si="0"/>
        <v>34234.262000000002</v>
      </c>
      <c r="L24" s="62">
        <f t="shared" si="1"/>
        <v>5381.0663531016626</v>
      </c>
      <c r="M24" s="59"/>
      <c r="N24" s="45">
        <f>N23+H24</f>
        <v>5381.0663531016626</v>
      </c>
    </row>
    <row r="25" spans="1:15" s="5" customFormat="1" ht="13.5" customHeight="1">
      <c r="A25" s="57">
        <v>44648</v>
      </c>
      <c r="B25" s="58" t="s">
        <v>70</v>
      </c>
      <c r="C25" s="59"/>
      <c r="D25" s="60"/>
      <c r="E25" s="59" t="s">
        <v>77</v>
      </c>
      <c r="F25" s="61"/>
      <c r="G25" s="62"/>
      <c r="H25" s="78"/>
      <c r="I25" s="90">
        <f>J25*'통장내역(환율표)'!$D$6</f>
        <v>4654.536013031764</v>
      </c>
      <c r="J25" s="91">
        <v>731.61</v>
      </c>
      <c r="K25" s="83">
        <f t="shared" si="0"/>
        <v>29579.725986968238</v>
      </c>
      <c r="L25" s="62">
        <f t="shared" si="1"/>
        <v>4649.4563531016629</v>
      </c>
      <c r="M25" s="59" t="s">
        <v>71</v>
      </c>
      <c r="N25" s="45">
        <f>N24+H25</f>
        <v>5381.0663531016626</v>
      </c>
      <c r="O25" s="148">
        <f>H24-J25</f>
        <v>3542.89</v>
      </c>
    </row>
    <row r="26" spans="1:15" s="5" customFormat="1" ht="13.5" customHeight="1">
      <c r="A26" s="46">
        <v>44649</v>
      </c>
      <c r="B26" s="52" t="s">
        <v>57</v>
      </c>
      <c r="C26" s="47"/>
      <c r="D26" s="48" t="s">
        <v>51</v>
      </c>
      <c r="E26" s="47"/>
      <c r="F26" s="49"/>
      <c r="G26" s="50">
        <v>55337.75</v>
      </c>
      <c r="H26" s="79">
        <v>8777</v>
      </c>
      <c r="I26" s="92"/>
      <c r="J26" s="93"/>
      <c r="K26" s="84">
        <f t="shared" si="0"/>
        <v>84917.475986968231</v>
      </c>
      <c r="L26" s="50">
        <f t="shared" si="1"/>
        <v>13426.456353101663</v>
      </c>
      <c r="M26" s="47" t="s">
        <v>57</v>
      </c>
    </row>
    <row r="27" spans="1:15" s="5" customFormat="1" ht="13.5" customHeight="1">
      <c r="A27" s="46">
        <v>44649</v>
      </c>
      <c r="B27" s="52" t="s">
        <v>63</v>
      </c>
      <c r="C27" s="47"/>
      <c r="D27" s="48" t="s">
        <v>51</v>
      </c>
      <c r="E27" s="47" t="s">
        <v>62</v>
      </c>
      <c r="F27" s="49"/>
      <c r="G27" s="54"/>
      <c r="H27" s="79"/>
      <c r="I27" s="94"/>
      <c r="J27" s="93">
        <v>58</v>
      </c>
      <c r="K27" s="84">
        <f t="shared" si="0"/>
        <v>84917.475986968231</v>
      </c>
      <c r="L27" s="50">
        <f t="shared" si="1"/>
        <v>13368.456353101663</v>
      </c>
      <c r="M27" s="47" t="s">
        <v>52</v>
      </c>
    </row>
    <row r="28" spans="1:15" s="5" customFormat="1" ht="13.5" customHeight="1">
      <c r="A28" s="36">
        <v>44650</v>
      </c>
      <c r="B28" s="34" t="s">
        <v>58</v>
      </c>
      <c r="C28" s="33">
        <v>2</v>
      </c>
      <c r="D28" s="33" t="s">
        <v>59</v>
      </c>
      <c r="E28" s="33" t="s">
        <v>64</v>
      </c>
      <c r="F28" s="35"/>
      <c r="G28" s="38"/>
      <c r="H28" s="77"/>
      <c r="I28" s="95">
        <v>1680</v>
      </c>
      <c r="J28" s="96">
        <f>I28/'통장내역(환율표)'!$D$6</f>
        <v>264.06602001977296</v>
      </c>
      <c r="K28" s="82">
        <f t="shared" si="0"/>
        <v>83237.475986968231</v>
      </c>
      <c r="L28" s="38">
        <f t="shared" si="1"/>
        <v>13104.39033308189</v>
      </c>
      <c r="M28" s="33" t="s">
        <v>58</v>
      </c>
      <c r="N28" s="45">
        <f>N23-J28</f>
        <v>842.50033308188961</v>
      </c>
    </row>
    <row r="30" spans="1:15">
      <c r="G30" s="63"/>
      <c r="H30" s="100">
        <f>H24-J25</f>
        <v>3542.89</v>
      </c>
    </row>
    <row r="31" spans="1:15">
      <c r="H31" s="100">
        <f>H26-J27</f>
        <v>8719</v>
      </c>
    </row>
  </sheetData>
  <autoFilter ref="A16:N28" xr:uid="{00000000-0009-0000-0000-000001000000}">
    <filterColumn colId="1" showButton="0"/>
  </autoFilter>
  <mergeCells count="12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M12:N12"/>
  </mergeCells>
  <phoneticPr fontId="11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3"/>
  <sheetViews>
    <sheetView showGridLines="0" topLeftCell="A10" workbookViewId="0">
      <selection activeCell="G31" sqref="G31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21.375" bestFit="1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125" bestFit="1" customWidth="1"/>
    <col min="10" max="10" width="10.75" bestFit="1" customWidth="1"/>
    <col min="11" max="11" width="13.5" bestFit="1" customWidth="1"/>
    <col min="12" max="12" width="11.625" bestFit="1" customWidth="1"/>
    <col min="13" max="13" width="30.25" bestFit="1" customWidth="1"/>
    <col min="14" max="16" width="9.25" bestFit="1" customWidth="1"/>
    <col min="17" max="17" width="10.5" bestFit="1" customWidth="1"/>
  </cols>
  <sheetData>
    <row r="1" spans="1:17" ht="24">
      <c r="A1" s="1" t="s">
        <v>111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s="5" customFormat="1" ht="13.5">
      <c r="A2" s="5" t="s">
        <v>109</v>
      </c>
      <c r="B2" s="2"/>
      <c r="C2" s="2"/>
      <c r="E2" s="139">
        <v>100021243</v>
      </c>
      <c r="F2" s="7"/>
      <c r="G2" s="5" t="s">
        <v>78</v>
      </c>
      <c r="H2" s="2"/>
      <c r="I2" s="2"/>
      <c r="K2" s="139">
        <v>100021244</v>
      </c>
      <c r="L2" s="139">
        <v>1200000696</v>
      </c>
      <c r="M2" s="5" t="s">
        <v>110</v>
      </c>
      <c r="N2" s="2"/>
      <c r="O2" s="2"/>
      <c r="Q2" s="139">
        <v>100021246</v>
      </c>
    </row>
    <row r="3" spans="1:17" s="5" customFormat="1" ht="27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3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  <c r="M3" s="140" t="s">
        <v>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7" s="5" customFormat="1" ht="13.5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  <c r="M4" s="114" t="s">
        <v>10</v>
      </c>
      <c r="N4" s="115"/>
      <c r="O4" s="116"/>
      <c r="P4" s="116"/>
      <c r="Q4" s="117"/>
    </row>
    <row r="5" spans="1:17" s="5" customFormat="1" ht="13.5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  <c r="M5" s="114" t="s">
        <v>11</v>
      </c>
      <c r="N5" s="115" t="s">
        <v>12</v>
      </c>
      <c r="O5" s="120"/>
      <c r="P5" s="116"/>
      <c r="Q5" s="117"/>
    </row>
    <row r="6" spans="1:17" s="5" customFormat="1" ht="13.5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/>
      <c r="J6" s="116"/>
      <c r="K6" s="117"/>
      <c r="L6" s="119"/>
      <c r="M6" s="114" t="s">
        <v>13</v>
      </c>
      <c r="N6" s="115" t="s">
        <v>14</v>
      </c>
      <c r="O6" s="116"/>
      <c r="P6" s="116"/>
      <c r="Q6" s="117"/>
    </row>
    <row r="7" spans="1:17" s="5" customFormat="1" ht="13.5">
      <c r="A7" s="114" t="s">
        <v>15</v>
      </c>
      <c r="B7" s="115" t="s">
        <v>16</v>
      </c>
      <c r="C7" s="116">
        <v>5360.0253431758883</v>
      </c>
      <c r="D7" s="116">
        <v>842.50033308188961</v>
      </c>
      <c r="E7" s="117">
        <v>1040066</v>
      </c>
      <c r="F7" s="121">
        <v>51201020</v>
      </c>
      <c r="G7" s="114" t="s">
        <v>15</v>
      </c>
      <c r="H7" s="115" t="s">
        <v>16</v>
      </c>
      <c r="I7" s="116">
        <v>14079.974656824112</v>
      </c>
      <c r="J7" s="116">
        <v>2213.1207557183402</v>
      </c>
      <c r="K7" s="117">
        <v>2732097</v>
      </c>
      <c r="L7" s="119"/>
      <c r="M7" s="114" t="s">
        <v>15</v>
      </c>
      <c r="N7" s="115" t="s">
        <v>16</v>
      </c>
      <c r="O7" s="116"/>
      <c r="P7" s="116"/>
      <c r="Q7" s="117"/>
    </row>
    <row r="8" spans="1:17" s="5" customFormat="1" ht="13.5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  <c r="M8" s="114" t="s">
        <v>15</v>
      </c>
      <c r="N8" s="114" t="s">
        <v>17</v>
      </c>
      <c r="O8" s="116"/>
      <c r="P8" s="116"/>
      <c r="Q8" s="117"/>
    </row>
    <row r="9" spans="1:17" s="5" customFormat="1" ht="13.5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  <c r="M9" s="114" t="s">
        <v>19</v>
      </c>
      <c r="N9" s="114" t="s">
        <v>20</v>
      </c>
      <c r="O9" s="116"/>
      <c r="P9" s="116"/>
      <c r="Q9" s="117"/>
    </row>
    <row r="10" spans="1:17" s="5" customFormat="1" ht="13.5">
      <c r="A10" s="114" t="s">
        <v>21</v>
      </c>
      <c r="B10" s="115"/>
      <c r="C10" s="116"/>
      <c r="D10" s="116"/>
      <c r="E10" s="117"/>
      <c r="F10" s="121">
        <v>51321010</v>
      </c>
      <c r="G10" s="114" t="s">
        <v>21</v>
      </c>
      <c r="H10" s="115"/>
      <c r="I10" s="116">
        <v>8460.0522635434427</v>
      </c>
      <c r="J10" s="116">
        <v>1329.7692442816597</v>
      </c>
      <c r="K10" s="117">
        <v>1641601</v>
      </c>
      <c r="L10" s="119"/>
      <c r="M10" s="114" t="s">
        <v>21</v>
      </c>
      <c r="N10" s="115"/>
      <c r="O10" s="116">
        <v>9766.6177364565574</v>
      </c>
      <c r="P10" s="116">
        <v>1535.1380206670278</v>
      </c>
      <c r="Q10" s="117">
        <v>1870261</v>
      </c>
    </row>
    <row r="11" spans="1:17" s="5" customFormat="1" ht="13.5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  <c r="M11" s="114"/>
      <c r="N11" s="123"/>
      <c r="O11" s="116"/>
      <c r="P11" s="116"/>
      <c r="Q11" s="117"/>
    </row>
    <row r="12" spans="1:17" s="5" customFormat="1" ht="13.5">
      <c r="A12" s="1493" t="s">
        <v>22</v>
      </c>
      <c r="B12" s="1494"/>
      <c r="C12" s="124">
        <f>SUM(C4:C11)</f>
        <v>5360.0253431758883</v>
      </c>
      <c r="D12" s="124">
        <f>SUM(D4:D11)</f>
        <v>842.50033308188961</v>
      </c>
      <c r="E12" s="125">
        <f>SUM(E4:E11)</f>
        <v>1040066</v>
      </c>
      <c r="F12" s="121">
        <v>52981010</v>
      </c>
      <c r="G12" s="1493" t="s">
        <v>22</v>
      </c>
      <c r="H12" s="1494"/>
      <c r="I12" s="124">
        <f>SUM(I4:I10)</f>
        <v>22540.026920367556</v>
      </c>
      <c r="J12" s="124">
        <f>SUM(J4:J10)</f>
        <v>3542.89</v>
      </c>
      <c r="K12" s="125">
        <f>SUM(K4:K10)</f>
        <v>4373698</v>
      </c>
      <c r="L12" s="119"/>
      <c r="M12" s="1493" t="s">
        <v>22</v>
      </c>
      <c r="N12" s="1494"/>
      <c r="O12" s="124">
        <f>SUM(O4:O10)</f>
        <v>9766.6177364565574</v>
      </c>
      <c r="P12" s="124">
        <f>SUM(P4:P10)</f>
        <v>1535.1380206670278</v>
      </c>
      <c r="Q12" s="125">
        <f>SUM(Q4:Q10)</f>
        <v>1870261</v>
      </c>
    </row>
    <row r="13" spans="1:17" s="5" customFormat="1" ht="13.5">
      <c r="A13" s="126"/>
      <c r="B13" s="127"/>
      <c r="C13" s="128">
        <f>C12+I12++O12</f>
        <v>37666.670000000006</v>
      </c>
      <c r="D13" s="128">
        <f>D12+J12++P12</f>
        <v>5920.5283537489177</v>
      </c>
      <c r="E13" s="128">
        <f>E12+K12++Q12</f>
        <v>7284025</v>
      </c>
      <c r="F13" s="129"/>
      <c r="G13" s="130"/>
      <c r="H13" s="130"/>
      <c r="I13" s="131"/>
      <c r="J13" s="130"/>
      <c r="K13" s="130"/>
      <c r="L13" s="132"/>
    </row>
    <row r="14" spans="1:17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SUBTOTAL(9,H17:H41)</f>
        <v>0</v>
      </c>
      <c r="I14" s="137">
        <f>SUBTOTAL(9,I18:I41)</f>
        <v>37666.67</v>
      </c>
      <c r="J14" s="137">
        <f>SUBTOTAL(9,J18:J41)</f>
        <v>5920.5283537489186</v>
      </c>
      <c r="K14" s="139"/>
      <c r="L14" s="45"/>
    </row>
    <row r="15" spans="1:17" s="5" customFormat="1" ht="13.5">
      <c r="A15" s="1495" t="s">
        <v>24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29</v>
      </c>
      <c r="H15" s="1502"/>
      <c r="I15" s="1501" t="s">
        <v>30</v>
      </c>
      <c r="J15" s="1503"/>
      <c r="K15" s="1489" t="s">
        <v>31</v>
      </c>
      <c r="L15" s="1490"/>
      <c r="M15" s="1491" t="s">
        <v>32</v>
      </c>
    </row>
    <row r="16" spans="1:17" s="5" customFormat="1" ht="13.5">
      <c r="A16" s="1496"/>
      <c r="B16" s="1498"/>
      <c r="C16" s="1498"/>
      <c r="D16" s="1498"/>
      <c r="E16" s="1498"/>
      <c r="F16" s="1500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2"/>
    </row>
    <row r="17" spans="1:14" s="5" customFormat="1" ht="13.5" customHeight="1">
      <c r="A17" s="105">
        <v>44650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83237.475986968231</v>
      </c>
      <c r="L17" s="108">
        <v>13104.39033308189</v>
      </c>
      <c r="M17" s="106"/>
      <c r="N17" s="45">
        <v>842.50033308188961</v>
      </c>
    </row>
    <row r="18" spans="1:14" s="5" customFormat="1" ht="13.5" customHeight="1">
      <c r="A18" s="149" t="s">
        <v>79</v>
      </c>
      <c r="B18" s="157" t="s">
        <v>104</v>
      </c>
      <c r="C18" s="158"/>
      <c r="D18" s="150">
        <v>1</v>
      </c>
      <c r="E18" s="151" t="s">
        <v>105</v>
      </c>
      <c r="F18" s="152" t="s">
        <v>106</v>
      </c>
      <c r="G18" s="153"/>
      <c r="H18" s="174"/>
      <c r="I18" s="176">
        <f>J18*'통장내역(환율표)'!$D$6</f>
        <v>5360.0253431758883</v>
      </c>
      <c r="J18" s="102">
        <v>842.50033308188961</v>
      </c>
      <c r="K18" s="175">
        <f>K17+G18-I18</f>
        <v>77877.450643792341</v>
      </c>
      <c r="L18" s="153">
        <f>L17+H18-J18</f>
        <v>12261.890000000001</v>
      </c>
      <c r="M18" s="154" t="s">
        <v>81</v>
      </c>
      <c r="N18" s="45">
        <f>N17-J18</f>
        <v>0</v>
      </c>
    </row>
    <row r="19" spans="1:14" s="5" customFormat="1" ht="13.5" customHeight="1">
      <c r="A19" s="149" t="s">
        <v>79</v>
      </c>
      <c r="B19" s="157" t="s">
        <v>108</v>
      </c>
      <c r="C19" s="158"/>
      <c r="D19" s="150">
        <v>1</v>
      </c>
      <c r="E19" s="151" t="s">
        <v>105</v>
      </c>
      <c r="F19" s="152" t="s">
        <v>106</v>
      </c>
      <c r="G19" s="153"/>
      <c r="H19" s="174"/>
      <c r="I19" s="176">
        <f>19440-I18</f>
        <v>14079.974656824112</v>
      </c>
      <c r="J19" s="86">
        <f>I19/'통장내역(환율표)'!$D$6</f>
        <v>2213.1207557183402</v>
      </c>
      <c r="K19" s="175">
        <f t="shared" ref="K19:K26" si="0">K18+G19-I19</f>
        <v>63797.475986968231</v>
      </c>
      <c r="L19" s="153">
        <f t="shared" ref="L19:L26" si="1">L18+H19-J19</f>
        <v>10048.769244281661</v>
      </c>
      <c r="M19" s="154" t="s">
        <v>81</v>
      </c>
      <c r="N19" s="45">
        <f>3542.89-J19</f>
        <v>1329.7692442816597</v>
      </c>
    </row>
    <row r="20" spans="1:14" s="5" customFormat="1" ht="13.5" customHeight="1">
      <c r="A20" s="138" t="s">
        <v>80</v>
      </c>
      <c r="B20" s="159" t="s">
        <v>93</v>
      </c>
      <c r="C20" s="160"/>
      <c r="D20" s="37">
        <v>2</v>
      </c>
      <c r="E20" s="33" t="s">
        <v>107</v>
      </c>
      <c r="F20" s="35"/>
      <c r="G20" s="103"/>
      <c r="H20" s="77"/>
      <c r="I20" s="177">
        <v>1038.04</v>
      </c>
      <c r="J20" s="86">
        <f>I20/'통장내역(환율표)'!$D$6</f>
        <v>163.16136394126497</v>
      </c>
      <c r="K20" s="82">
        <f>K19+G20-I20</f>
        <v>62759.43598696823</v>
      </c>
      <c r="L20" s="38">
        <f>L19+H20-J20</f>
        <v>9885.6078803403962</v>
      </c>
      <c r="M20" s="34" t="s">
        <v>82</v>
      </c>
      <c r="N20" s="45">
        <f>N19-J20</f>
        <v>1166.6078803403948</v>
      </c>
    </row>
    <row r="21" spans="1:14" s="5" customFormat="1" ht="13.5" customHeight="1">
      <c r="A21" s="138" t="s">
        <v>80</v>
      </c>
      <c r="B21" s="159" t="s">
        <v>94</v>
      </c>
      <c r="C21" s="160"/>
      <c r="D21" s="37">
        <v>3</v>
      </c>
      <c r="E21" s="33" t="s">
        <v>107</v>
      </c>
      <c r="F21" s="35"/>
      <c r="G21" s="103"/>
      <c r="H21" s="104"/>
      <c r="I21" s="177">
        <v>299</v>
      </c>
      <c r="J21" s="86">
        <f>I21/'통장내역(환율표)'!$D$6</f>
        <v>46.997464277328639</v>
      </c>
      <c r="K21" s="82">
        <f t="shared" si="0"/>
        <v>62460.43598696823</v>
      </c>
      <c r="L21" s="38">
        <f t="shared" si="1"/>
        <v>9838.6104160630675</v>
      </c>
      <c r="M21" s="34" t="s">
        <v>83</v>
      </c>
      <c r="N21" s="45">
        <f t="shared" ref="N21:N31" si="2">N20-J21</f>
        <v>1119.6104160630662</v>
      </c>
    </row>
    <row r="22" spans="1:14" s="5" customFormat="1" ht="13.5" customHeight="1">
      <c r="A22" s="138" t="s">
        <v>80</v>
      </c>
      <c r="B22" s="159" t="s">
        <v>95</v>
      </c>
      <c r="C22" s="160"/>
      <c r="D22" s="37">
        <v>4</v>
      </c>
      <c r="E22" s="33" t="s">
        <v>107</v>
      </c>
      <c r="F22" s="35"/>
      <c r="G22" s="38"/>
      <c r="H22" s="77"/>
      <c r="I22" s="177">
        <v>227.9</v>
      </c>
      <c r="J22" s="86">
        <f>I22/'통장내역(환율표)'!$D$6</f>
        <v>35.821813072920392</v>
      </c>
      <c r="K22" s="82">
        <f t="shared" si="0"/>
        <v>62232.535986968229</v>
      </c>
      <c r="L22" s="38">
        <f t="shared" si="1"/>
        <v>9802.7886029901474</v>
      </c>
      <c r="M22" s="34" t="s">
        <v>84</v>
      </c>
      <c r="N22" s="45">
        <f t="shared" si="2"/>
        <v>1083.7886029901458</v>
      </c>
    </row>
    <row r="23" spans="1:14" s="5" customFormat="1" ht="13.5">
      <c r="A23" s="138" t="s">
        <v>80</v>
      </c>
      <c r="B23" s="159" t="s">
        <v>96</v>
      </c>
      <c r="C23" s="160"/>
      <c r="D23" s="37">
        <v>5</v>
      </c>
      <c r="E23" s="33" t="s">
        <v>107</v>
      </c>
      <c r="F23" s="35"/>
      <c r="G23" s="38"/>
      <c r="H23" s="77"/>
      <c r="I23" s="177">
        <v>212.41</v>
      </c>
      <c r="J23" s="86">
        <f>I23/'통장내역(환율표)'!$D$6</f>
        <v>33.387061495476175</v>
      </c>
      <c r="K23" s="82">
        <f t="shared" si="0"/>
        <v>62020.125986968225</v>
      </c>
      <c r="L23" s="38">
        <f t="shared" si="1"/>
        <v>9769.4015414946716</v>
      </c>
      <c r="M23" s="34" t="s">
        <v>85</v>
      </c>
      <c r="N23" s="45">
        <f t="shared" si="2"/>
        <v>1050.4015414946696</v>
      </c>
    </row>
    <row r="24" spans="1:14" s="5" customFormat="1" ht="13.5" customHeight="1">
      <c r="A24" s="138" t="s">
        <v>80</v>
      </c>
      <c r="B24" s="159" t="s">
        <v>97</v>
      </c>
      <c r="C24" s="160"/>
      <c r="D24" s="37">
        <v>6</v>
      </c>
      <c r="E24" s="33" t="s">
        <v>107</v>
      </c>
      <c r="F24" s="35"/>
      <c r="G24" s="38"/>
      <c r="H24" s="77"/>
      <c r="I24" s="177">
        <v>1798.9</v>
      </c>
      <c r="J24" s="86">
        <f>I24/'통장내역(환율표)'!$D$6</f>
        <v>282.75497822236287</v>
      </c>
      <c r="K24" s="82">
        <f t="shared" si="0"/>
        <v>60221.225986968224</v>
      </c>
      <c r="L24" s="38">
        <f t="shared" si="1"/>
        <v>9486.6465632723084</v>
      </c>
      <c r="M24" s="34" t="s">
        <v>86</v>
      </c>
      <c r="N24" s="45">
        <f t="shared" si="2"/>
        <v>767.64656327230671</v>
      </c>
    </row>
    <row r="25" spans="1:14" s="5" customFormat="1" ht="13.5" customHeight="1">
      <c r="A25" s="138" t="s">
        <v>80</v>
      </c>
      <c r="B25" s="159" t="s">
        <v>98</v>
      </c>
      <c r="C25" s="160"/>
      <c r="D25" s="37">
        <v>7</v>
      </c>
      <c r="E25" s="33" t="s">
        <v>107</v>
      </c>
      <c r="F25" s="35"/>
      <c r="G25" s="38"/>
      <c r="H25" s="77"/>
      <c r="I25" s="177">
        <v>3334</v>
      </c>
      <c r="J25" s="86">
        <f>I25/'통장내역(환율표)'!$D$6</f>
        <v>524.04530401543036</v>
      </c>
      <c r="K25" s="82">
        <f t="shared" si="0"/>
        <v>56887.225986968224</v>
      </c>
      <c r="L25" s="38">
        <f t="shared" si="1"/>
        <v>8962.6012592568786</v>
      </c>
      <c r="M25" s="34" t="s">
        <v>87</v>
      </c>
      <c r="N25" s="45">
        <f t="shared" si="2"/>
        <v>243.60125925687635</v>
      </c>
    </row>
    <row r="26" spans="1:14" s="5" customFormat="1" ht="13.5" customHeight="1">
      <c r="A26" s="149" t="s">
        <v>80</v>
      </c>
      <c r="B26" s="157" t="s">
        <v>99</v>
      </c>
      <c r="C26" s="158"/>
      <c r="D26" s="150">
        <v>8</v>
      </c>
      <c r="E26" s="151" t="s">
        <v>107</v>
      </c>
      <c r="F26" s="152"/>
      <c r="G26" s="153"/>
      <c r="H26" s="174"/>
      <c r="I26" s="176">
        <f>J26*'통장내역(환율표)'!$D$6</f>
        <v>1549.8022635434429</v>
      </c>
      <c r="J26" s="86">
        <v>243.60125925687635</v>
      </c>
      <c r="K26" s="175">
        <f t="shared" si="0"/>
        <v>55337.423723424778</v>
      </c>
      <c r="L26" s="153">
        <f t="shared" si="1"/>
        <v>8719.0000000000018</v>
      </c>
      <c r="M26" s="154" t="s">
        <v>88</v>
      </c>
      <c r="N26" s="45">
        <f t="shared" si="2"/>
        <v>0</v>
      </c>
    </row>
    <row r="27" spans="1:14" s="5" customFormat="1" ht="13.5" customHeight="1">
      <c r="A27" s="149" t="s">
        <v>80</v>
      </c>
      <c r="B27" s="157" t="s">
        <v>99</v>
      </c>
      <c r="C27" s="158"/>
      <c r="D27" s="150">
        <v>8</v>
      </c>
      <c r="E27" s="151" t="s">
        <v>107</v>
      </c>
      <c r="F27" s="152"/>
      <c r="G27" s="153"/>
      <c r="H27" s="174"/>
      <c r="I27" s="176">
        <f>2446-I26</f>
        <v>896.1977364565571</v>
      </c>
      <c r="J27" s="178">
        <f>I27/'통장내역(환율표)'!$D$6</f>
        <v>140.8662913195312</v>
      </c>
      <c r="K27" s="175">
        <f t="shared" ref="K27:L31" si="3">K26+G27-I27</f>
        <v>54441.225986968224</v>
      </c>
      <c r="L27" s="153">
        <f t="shared" si="3"/>
        <v>8578.1337086804706</v>
      </c>
      <c r="M27" s="154"/>
      <c r="N27" s="45">
        <f>8719-J27</f>
        <v>8578.1337086804688</v>
      </c>
    </row>
    <row r="28" spans="1:14" s="5" customFormat="1" ht="13.5" customHeight="1">
      <c r="A28" s="138" t="s">
        <v>80</v>
      </c>
      <c r="B28" s="159" t="s">
        <v>100</v>
      </c>
      <c r="C28" s="160"/>
      <c r="D28" s="37">
        <v>9</v>
      </c>
      <c r="E28" s="33" t="s">
        <v>107</v>
      </c>
      <c r="F28" s="35"/>
      <c r="G28" s="38"/>
      <c r="H28" s="77"/>
      <c r="I28" s="177">
        <v>1578</v>
      </c>
      <c r="J28" s="178">
        <f>I28/'통장내역(환율표)'!$D$6</f>
        <v>248.03344023285817</v>
      </c>
      <c r="K28" s="82">
        <f t="shared" si="3"/>
        <v>52863.225986968224</v>
      </c>
      <c r="L28" s="38">
        <f t="shared" si="3"/>
        <v>8330.1002684476116</v>
      </c>
      <c r="M28" s="34" t="s">
        <v>89</v>
      </c>
      <c r="N28" s="45">
        <f>N27-J28</f>
        <v>8330.1002684476098</v>
      </c>
    </row>
    <row r="29" spans="1:14" s="5" customFormat="1" ht="13.5" customHeight="1">
      <c r="A29" s="138" t="s">
        <v>80</v>
      </c>
      <c r="B29" s="159" t="s">
        <v>101</v>
      </c>
      <c r="C29" s="160"/>
      <c r="D29" s="37">
        <v>10</v>
      </c>
      <c r="E29" s="33" t="s">
        <v>107</v>
      </c>
      <c r="F29" s="35"/>
      <c r="G29" s="103"/>
      <c r="H29" s="77"/>
      <c r="I29" s="177">
        <v>3747</v>
      </c>
      <c r="J29" s="178">
        <f>I29/'통장내역(환율표)'!$D$6</f>
        <v>588.96153393695795</v>
      </c>
      <c r="K29" s="82">
        <f t="shared" si="3"/>
        <v>49116.225986968224</v>
      </c>
      <c r="L29" s="38">
        <f t="shared" si="3"/>
        <v>7741.1387345106541</v>
      </c>
      <c r="M29" s="34" t="s">
        <v>90</v>
      </c>
      <c r="N29" s="45">
        <f t="shared" si="2"/>
        <v>7741.1387345106523</v>
      </c>
    </row>
    <row r="30" spans="1:14" s="5" customFormat="1" ht="13.5" customHeight="1">
      <c r="A30" s="138" t="s">
        <v>80</v>
      </c>
      <c r="B30" s="159" t="s">
        <v>102</v>
      </c>
      <c r="C30" s="160"/>
      <c r="D30" s="37">
        <v>11</v>
      </c>
      <c r="E30" s="33" t="s">
        <v>107</v>
      </c>
      <c r="F30" s="35"/>
      <c r="G30" s="38"/>
      <c r="H30" s="77"/>
      <c r="I30" s="177">
        <v>3200</v>
      </c>
      <c r="J30" s="178">
        <f>I30/'통장내역(환율표)'!$D$6</f>
        <v>502.98289527575804</v>
      </c>
      <c r="K30" s="82">
        <f t="shared" si="3"/>
        <v>45916.225986968224</v>
      </c>
      <c r="L30" s="38">
        <f t="shared" si="3"/>
        <v>7238.1558392348961</v>
      </c>
      <c r="M30" s="34" t="s">
        <v>91</v>
      </c>
      <c r="N30" s="45">
        <f t="shared" si="2"/>
        <v>7238.1558392348943</v>
      </c>
    </row>
    <row r="31" spans="1:14" s="5" customFormat="1" ht="13.5">
      <c r="A31" s="138" t="s">
        <v>80</v>
      </c>
      <c r="B31" s="159" t="s">
        <v>103</v>
      </c>
      <c r="C31" s="160"/>
      <c r="D31" s="37">
        <v>12</v>
      </c>
      <c r="E31" s="33" t="s">
        <v>107</v>
      </c>
      <c r="F31" s="35"/>
      <c r="G31" s="35"/>
      <c r="H31" s="159"/>
      <c r="I31" s="177">
        <v>345.42</v>
      </c>
      <c r="J31" s="179">
        <f>I31/'통장내역(환율표)'!$D$6</f>
        <v>54.293859901922609</v>
      </c>
      <c r="K31" s="82">
        <f t="shared" si="3"/>
        <v>45570.805986968226</v>
      </c>
      <c r="L31" s="38">
        <f t="shared" si="3"/>
        <v>7183.8619793329735</v>
      </c>
      <c r="M31" s="34" t="s">
        <v>92</v>
      </c>
      <c r="N31" s="45">
        <f t="shared" si="2"/>
        <v>7183.8619793329717</v>
      </c>
    </row>
    <row r="32" spans="1:14">
      <c r="G32" s="63"/>
      <c r="H32" s="100"/>
      <c r="I32" s="147"/>
      <c r="J32" s="147"/>
    </row>
    <row r="33" spans="8:8">
      <c r="H33" s="100"/>
    </row>
  </sheetData>
  <autoFilter ref="A16:N31" xr:uid="{00000000-0009-0000-0000-000002000000}">
    <filterColumn colId="1" showButton="0"/>
  </autoFilter>
  <mergeCells count="12">
    <mergeCell ref="K15:L15"/>
    <mergeCell ref="M15:M16"/>
    <mergeCell ref="A12:B12"/>
    <mergeCell ref="G12:H12"/>
    <mergeCell ref="M12:N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showGridLines="0" topLeftCell="A13" workbookViewId="0">
      <selection activeCell="G31" sqref="G31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125" bestFit="1" customWidth="1"/>
    <col min="10" max="11" width="13.5" bestFit="1" customWidth="1"/>
    <col min="12" max="12" width="11.625" bestFit="1" customWidth="1"/>
    <col min="13" max="13" width="30.25" bestFit="1" customWidth="1"/>
    <col min="14" max="16" width="9.25" bestFit="1" customWidth="1"/>
    <col min="17" max="17" width="10.5" bestFit="1" customWidth="1"/>
  </cols>
  <sheetData>
    <row r="1" spans="1:13" ht="24">
      <c r="A1" s="1" t="s">
        <v>141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148</v>
      </c>
      <c r="B2" s="2"/>
      <c r="C2" s="2"/>
      <c r="E2" s="4">
        <v>100027949</v>
      </c>
      <c r="F2" s="7"/>
      <c r="G2" s="5" t="s">
        <v>175</v>
      </c>
      <c r="H2" s="2"/>
      <c r="I2" s="2"/>
      <c r="K2" s="4">
        <v>100027950</v>
      </c>
      <c r="L2" s="139">
        <v>1200000696</v>
      </c>
    </row>
    <row r="3" spans="1:13" s="5" customFormat="1" ht="27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10</v>
      </c>
      <c r="B4" s="115"/>
      <c r="C4" s="116"/>
      <c r="D4" s="116"/>
      <c r="E4" s="117"/>
      <c r="F4" s="180"/>
      <c r="G4" s="114" t="s">
        <v>10</v>
      </c>
      <c r="H4" s="115"/>
      <c r="I4" s="116"/>
      <c r="J4" s="116"/>
      <c r="K4" s="117"/>
      <c r="L4" s="119"/>
    </row>
    <row r="5" spans="1:13" s="5" customFormat="1" ht="13.5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>
        <v>1449</v>
      </c>
      <c r="J5" s="116">
        <v>216.18478284603799</v>
      </c>
      <c r="K5" s="117">
        <v>275543</v>
      </c>
      <c r="L5" s="119"/>
    </row>
    <row r="6" spans="1:13" s="5" customFormat="1" ht="13.5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7166</v>
      </c>
      <c r="J6" s="116">
        <v>1069.1374422875833</v>
      </c>
      <c r="K6" s="117">
        <v>1362726</v>
      </c>
      <c r="L6" s="119"/>
    </row>
    <row r="7" spans="1:13" s="5" customFormat="1" ht="13.5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/>
      <c r="J7" s="116"/>
      <c r="K7" s="117"/>
      <c r="L7" s="119"/>
    </row>
    <row r="8" spans="1:13" s="5" customFormat="1" ht="13.5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</row>
    <row r="9" spans="1:13" s="5" customFormat="1" ht="13.5">
      <c r="A9" s="114" t="s">
        <v>19</v>
      </c>
      <c r="B9" s="114" t="s">
        <v>20</v>
      </c>
      <c r="C9" s="116">
        <v>1014.56</v>
      </c>
      <c r="D9" s="116">
        <v>159.85378227340289</v>
      </c>
      <c r="E9" s="117">
        <v>194745</v>
      </c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</row>
    <row r="10" spans="1:13" s="5" customFormat="1" ht="13.5">
      <c r="A10" s="114" t="s">
        <v>21</v>
      </c>
      <c r="B10" s="115"/>
      <c r="C10" s="116">
        <v>44556.572263543421</v>
      </c>
      <c r="D10" s="116">
        <v>7024.0081970595656</v>
      </c>
      <c r="E10" s="117">
        <v>8557351</v>
      </c>
      <c r="F10" s="121">
        <v>51321010</v>
      </c>
      <c r="G10" s="114" t="s">
        <v>21</v>
      </c>
      <c r="H10" s="115"/>
      <c r="I10" s="116">
        <v>3625.4877364565718</v>
      </c>
      <c r="J10" s="116">
        <v>568.90771498746562</v>
      </c>
      <c r="K10" s="117">
        <v>725133</v>
      </c>
      <c r="L10" s="119"/>
    </row>
    <row r="11" spans="1:13" s="5" customFormat="1" ht="13.5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.5">
      <c r="A12" s="1493" t="s">
        <v>22</v>
      </c>
      <c r="B12" s="1494"/>
      <c r="C12" s="124">
        <f>SUM(C4:C11)</f>
        <v>45571.132263543419</v>
      </c>
      <c r="D12" s="124">
        <f>SUM(D4:D11)</f>
        <v>7183.861979332969</v>
      </c>
      <c r="E12" s="125">
        <f>SUM(E4:E11)</f>
        <v>8752096</v>
      </c>
      <c r="F12" s="121">
        <v>52981010</v>
      </c>
      <c r="G12" s="1493" t="s">
        <v>22</v>
      </c>
      <c r="H12" s="1494"/>
      <c r="I12" s="124">
        <f>SUM(I4:I10)</f>
        <v>12240.487736456573</v>
      </c>
      <c r="J12" s="124">
        <f>SUM(J4:J10)</f>
        <v>1854.2299401210869</v>
      </c>
      <c r="K12" s="125">
        <f>SUM(K4:K10)</f>
        <v>2363402</v>
      </c>
      <c r="L12" s="119"/>
    </row>
    <row r="13" spans="1:13" s="5" customFormat="1" ht="13.5">
      <c r="A13" s="126"/>
      <c r="B13" s="127"/>
      <c r="C13" s="128">
        <f>C12+I12++O12</f>
        <v>57811.619999999995</v>
      </c>
      <c r="D13" s="128">
        <f>D12+J12++P12</f>
        <v>9038.0919194540566</v>
      </c>
      <c r="E13" s="128">
        <f>E12+K12++Q12</f>
        <v>11115498</v>
      </c>
      <c r="F13" s="118"/>
      <c r="G13" s="130"/>
      <c r="H13" s="130"/>
      <c r="I13" s="131"/>
      <c r="J13" s="130"/>
      <c r="K13" s="130"/>
      <c r="L13" s="132"/>
    </row>
    <row r="14" spans="1:13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SUBTOTAL(9,H17:H47)</f>
        <v>2487.7800000000002</v>
      </c>
      <c r="I14" s="137">
        <f>SUBTOTAL(9,I17:I55)</f>
        <v>57811.619999999981</v>
      </c>
      <c r="J14" s="137">
        <f>SUBTOTAL(9,J17:J55)</f>
        <v>9038.0919194540584</v>
      </c>
      <c r="K14" s="139"/>
      <c r="L14" s="45"/>
    </row>
    <row r="15" spans="1:13" s="5" customFormat="1" ht="13.5">
      <c r="A15" s="1495" t="s">
        <v>24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29</v>
      </c>
      <c r="H15" s="1502"/>
      <c r="I15" s="1501" t="s">
        <v>30</v>
      </c>
      <c r="J15" s="1503"/>
      <c r="K15" s="1489" t="s">
        <v>31</v>
      </c>
      <c r="L15" s="1490"/>
      <c r="M15" s="1491" t="s">
        <v>32</v>
      </c>
    </row>
    <row r="16" spans="1:13" s="5" customFormat="1" ht="13.5">
      <c r="A16" s="1496"/>
      <c r="B16" s="1498"/>
      <c r="C16" s="1498"/>
      <c r="D16" s="1498"/>
      <c r="E16" s="1498"/>
      <c r="F16" s="1500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2"/>
    </row>
    <row r="17" spans="1:14" s="5" customFormat="1" ht="13.5" customHeight="1">
      <c r="A17" s="105">
        <v>44681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45570.805986968226</v>
      </c>
      <c r="L17" s="108">
        <v>7183.8619793329735</v>
      </c>
      <c r="M17" s="106"/>
      <c r="N17" s="45">
        <v>7183.8619793329699</v>
      </c>
    </row>
    <row r="18" spans="1:14" s="5" customFormat="1" ht="13.5" customHeight="1">
      <c r="A18" s="138"/>
      <c r="B18" s="159" t="s">
        <v>112</v>
      </c>
      <c r="C18" s="160"/>
      <c r="D18" s="37"/>
      <c r="E18" s="33" t="s">
        <v>21</v>
      </c>
      <c r="F18" s="35"/>
      <c r="G18" s="103"/>
      <c r="H18" s="77"/>
      <c r="I18" s="177"/>
      <c r="J18" s="86">
        <v>3.6874654462444596</v>
      </c>
      <c r="K18" s="82">
        <f t="shared" ref="K18:K55" si="0">K17+G18-I18</f>
        <v>45570.805986968226</v>
      </c>
      <c r="L18" s="38">
        <f t="shared" ref="L18:L55" si="1">L17+H18-J18</f>
        <v>7180.1745138867291</v>
      </c>
      <c r="M18" s="34"/>
      <c r="N18" s="45">
        <f>N17-J18</f>
        <v>7180.1745138867254</v>
      </c>
    </row>
    <row r="19" spans="1:14" s="5" customFormat="1" ht="13.5" customHeight="1">
      <c r="A19" s="185"/>
      <c r="B19" s="186" t="s">
        <v>113</v>
      </c>
      <c r="C19" s="187"/>
      <c r="D19" s="188"/>
      <c r="E19" s="189"/>
      <c r="F19" s="190"/>
      <c r="G19" s="191">
        <v>16486.919999999998</v>
      </c>
      <c r="H19" s="192">
        <v>2487.7800000000002</v>
      </c>
      <c r="I19" s="193"/>
      <c r="J19" s="194"/>
      <c r="K19" s="195">
        <f t="shared" si="0"/>
        <v>62057.725986968224</v>
      </c>
      <c r="L19" s="196">
        <f t="shared" si="1"/>
        <v>9667.9545138867288</v>
      </c>
      <c r="M19" s="197"/>
      <c r="N19" s="45"/>
    </row>
    <row r="20" spans="1:14" s="5" customFormat="1" ht="13.5" customHeight="1">
      <c r="A20" s="185"/>
      <c r="B20" s="186" t="s">
        <v>114</v>
      </c>
      <c r="C20" s="187"/>
      <c r="D20" s="188"/>
      <c r="E20" s="189" t="s">
        <v>138</v>
      </c>
      <c r="F20" s="190"/>
      <c r="G20" s="191"/>
      <c r="H20" s="192"/>
      <c r="I20" s="193"/>
      <c r="J20" s="178">
        <v>28</v>
      </c>
      <c r="K20" s="195">
        <f t="shared" si="0"/>
        <v>62057.725986968224</v>
      </c>
      <c r="L20" s="196">
        <f t="shared" si="1"/>
        <v>9639.9545138867288</v>
      </c>
      <c r="M20" s="197"/>
      <c r="N20" s="45"/>
    </row>
    <row r="21" spans="1:14" s="5" customFormat="1" ht="13.5" customHeight="1">
      <c r="A21" s="36">
        <v>44692</v>
      </c>
      <c r="B21" s="159" t="s">
        <v>115</v>
      </c>
      <c r="C21" s="160"/>
      <c r="D21" s="37"/>
      <c r="E21" s="33" t="s">
        <v>138</v>
      </c>
      <c r="F21" s="35"/>
      <c r="G21" s="103"/>
      <c r="H21" s="77"/>
      <c r="I21" s="177">
        <v>17</v>
      </c>
      <c r="J21" s="86">
        <f>I21/'통장내역(환율표)'!$D$12</f>
        <v>2.6785151185221663</v>
      </c>
      <c r="K21" s="82">
        <f t="shared" si="0"/>
        <v>62040.725986968224</v>
      </c>
      <c r="L21" s="38">
        <f t="shared" si="1"/>
        <v>9637.2759987682075</v>
      </c>
      <c r="M21" s="34" t="s">
        <v>135</v>
      </c>
      <c r="N21" s="45">
        <f>N18-J21</f>
        <v>7177.4959987682032</v>
      </c>
    </row>
    <row r="22" spans="1:14" s="5" customFormat="1" ht="13.5" customHeight="1">
      <c r="A22" s="36">
        <v>44692</v>
      </c>
      <c r="B22" s="159" t="s">
        <v>115</v>
      </c>
      <c r="C22" s="160"/>
      <c r="D22" s="37"/>
      <c r="E22" s="33" t="s">
        <v>138</v>
      </c>
      <c r="F22" s="35"/>
      <c r="G22" s="103"/>
      <c r="H22" s="77"/>
      <c r="I22" s="177">
        <v>80</v>
      </c>
      <c r="J22" s="86">
        <f>I22/'통장내역(환율표)'!$D$12</f>
        <v>12.604777028339607</v>
      </c>
      <c r="K22" s="82">
        <f t="shared" si="0"/>
        <v>61960.725986968224</v>
      </c>
      <c r="L22" s="38">
        <f t="shared" si="1"/>
        <v>9624.6712217398672</v>
      </c>
      <c r="M22" s="34" t="s">
        <v>129</v>
      </c>
      <c r="N22" s="45">
        <f>N21-J22</f>
        <v>7164.8912217398638</v>
      </c>
    </row>
    <row r="23" spans="1:14" s="5" customFormat="1" ht="13.5" customHeight="1">
      <c r="A23" s="36">
        <v>44705</v>
      </c>
      <c r="B23" s="159" t="s">
        <v>130</v>
      </c>
      <c r="C23" s="160"/>
      <c r="D23" s="37">
        <v>1</v>
      </c>
      <c r="E23" s="33" t="s">
        <v>138</v>
      </c>
      <c r="F23" s="35"/>
      <c r="G23" s="103"/>
      <c r="H23" s="77"/>
      <c r="I23" s="177">
        <v>300</v>
      </c>
      <c r="J23" s="86">
        <f>I23/'통장내역(환율표)'!$D$12</f>
        <v>47.267913856273523</v>
      </c>
      <c r="K23" s="82">
        <f t="shared" si="0"/>
        <v>61660.725986968224</v>
      </c>
      <c r="L23" s="38">
        <f t="shared" si="1"/>
        <v>9577.4033078835928</v>
      </c>
      <c r="M23" s="34"/>
      <c r="N23" s="45">
        <f t="shared" ref="N23:N37" si="2">N22-J23</f>
        <v>7117.6233078835903</v>
      </c>
    </row>
    <row r="24" spans="1:14" s="5" customFormat="1" ht="13.5" customHeight="1">
      <c r="A24" s="36">
        <v>44705</v>
      </c>
      <c r="B24" s="159" t="s">
        <v>131</v>
      </c>
      <c r="C24" s="160"/>
      <c r="D24" s="37">
        <v>2</v>
      </c>
      <c r="E24" s="33" t="s">
        <v>138</v>
      </c>
      <c r="F24" s="35"/>
      <c r="G24" s="103"/>
      <c r="H24" s="77"/>
      <c r="I24" s="177">
        <v>7703.4</v>
      </c>
      <c r="J24" s="86">
        <f>I24/'통장내역(환율표)'!$D$12</f>
        <v>1213.7454920013915</v>
      </c>
      <c r="K24" s="82">
        <f t="shared" si="0"/>
        <v>53957.325986968222</v>
      </c>
      <c r="L24" s="38">
        <f t="shared" si="1"/>
        <v>8363.6578158822012</v>
      </c>
      <c r="M24" s="34"/>
      <c r="N24" s="45">
        <f t="shared" si="2"/>
        <v>5903.8778158821988</v>
      </c>
    </row>
    <row r="25" spans="1:14" s="5" customFormat="1" ht="13.5" customHeight="1">
      <c r="A25" s="36">
        <v>44705</v>
      </c>
      <c r="B25" s="159" t="s">
        <v>132</v>
      </c>
      <c r="C25" s="160"/>
      <c r="D25" s="37">
        <v>2</v>
      </c>
      <c r="E25" s="33" t="s">
        <v>138</v>
      </c>
      <c r="F25" s="35"/>
      <c r="G25" s="103"/>
      <c r="H25" s="77"/>
      <c r="I25" s="177">
        <v>13500</v>
      </c>
      <c r="J25" s="86">
        <f>I25/'통장내역(환율표)'!$D$12</f>
        <v>2127.0561235323084</v>
      </c>
      <c r="K25" s="82">
        <f t="shared" si="0"/>
        <v>40457.325986968222</v>
      </c>
      <c r="L25" s="38">
        <f t="shared" si="1"/>
        <v>6236.6016923498928</v>
      </c>
      <c r="M25" s="34"/>
      <c r="N25" s="45">
        <f t="shared" si="2"/>
        <v>3776.8216923498903</v>
      </c>
    </row>
    <row r="26" spans="1:14" s="5" customFormat="1" ht="13.5" customHeight="1">
      <c r="A26" s="36">
        <v>44705</v>
      </c>
      <c r="B26" s="159" t="s">
        <v>133</v>
      </c>
      <c r="C26" s="160"/>
      <c r="D26" s="37">
        <v>2</v>
      </c>
      <c r="E26" s="33" t="s">
        <v>138</v>
      </c>
      <c r="F26" s="35"/>
      <c r="G26" s="103"/>
      <c r="H26" s="77"/>
      <c r="I26" s="177">
        <v>2552.2899999999991</v>
      </c>
      <c r="J26" s="86">
        <f>I26/'통장내역(환율표)'!$D$12</f>
        <v>402.13807952076104</v>
      </c>
      <c r="K26" s="82">
        <f t="shared" si="0"/>
        <v>37905.035986968222</v>
      </c>
      <c r="L26" s="38">
        <f t="shared" si="1"/>
        <v>5834.4636128291313</v>
      </c>
      <c r="M26" s="34"/>
      <c r="N26" s="45">
        <f t="shared" si="2"/>
        <v>3374.6836128291293</v>
      </c>
    </row>
    <row r="27" spans="1:14" s="5" customFormat="1" ht="13.5" customHeight="1">
      <c r="A27" s="36">
        <v>44705</v>
      </c>
      <c r="B27" s="159" t="s">
        <v>134</v>
      </c>
      <c r="C27" s="160"/>
      <c r="D27" s="37">
        <v>2</v>
      </c>
      <c r="E27" s="33" t="s">
        <v>138</v>
      </c>
      <c r="F27" s="35"/>
      <c r="G27" s="103"/>
      <c r="H27" s="77"/>
      <c r="I27" s="177">
        <v>20000</v>
      </c>
      <c r="J27" s="86">
        <f>I27/'통장내역(환율표)'!$D$12</f>
        <v>3151.1942570849014</v>
      </c>
      <c r="K27" s="82">
        <f t="shared" si="0"/>
        <v>17905.035986968222</v>
      </c>
      <c r="L27" s="38">
        <f t="shared" si="1"/>
        <v>2683.2693557442299</v>
      </c>
      <c r="M27" s="34"/>
      <c r="N27" s="45">
        <f t="shared" si="2"/>
        <v>223.48935574422785</v>
      </c>
    </row>
    <row r="28" spans="1:14" s="5" customFormat="1" ht="13.5" customHeight="1">
      <c r="A28" s="36">
        <v>44706</v>
      </c>
      <c r="B28" s="159" t="s">
        <v>115</v>
      </c>
      <c r="C28" s="160"/>
      <c r="D28" s="37"/>
      <c r="E28" s="33" t="s">
        <v>138</v>
      </c>
      <c r="F28" s="35"/>
      <c r="G28" s="103"/>
      <c r="H28" s="77"/>
      <c r="I28" s="177">
        <v>7.2</v>
      </c>
      <c r="J28" s="86">
        <f>I28/'통장내역(환율표)'!$D$12</f>
        <v>1.1344299325505647</v>
      </c>
      <c r="K28" s="82">
        <f t="shared" si="0"/>
        <v>17897.835986968221</v>
      </c>
      <c r="L28" s="38">
        <f t="shared" si="1"/>
        <v>2682.1349258116793</v>
      </c>
      <c r="M28" s="34"/>
      <c r="N28" s="45">
        <f t="shared" si="2"/>
        <v>222.35492581167728</v>
      </c>
    </row>
    <row r="29" spans="1:14" s="5" customFormat="1" ht="13.5" customHeight="1">
      <c r="A29" s="36">
        <v>44706</v>
      </c>
      <c r="B29" s="159" t="s">
        <v>116</v>
      </c>
      <c r="C29" s="160"/>
      <c r="D29" s="37">
        <v>3</v>
      </c>
      <c r="E29" s="33" t="s">
        <v>139</v>
      </c>
      <c r="F29" s="35" t="s">
        <v>140</v>
      </c>
      <c r="G29" s="103"/>
      <c r="H29" s="77"/>
      <c r="I29" s="177">
        <v>500</v>
      </c>
      <c r="J29" s="86">
        <f>I29/'통장내역(환율표)'!$D$12</f>
        <v>78.779856427122539</v>
      </c>
      <c r="K29" s="82">
        <f t="shared" si="0"/>
        <v>17397.835986968221</v>
      </c>
      <c r="L29" s="38">
        <f t="shared" si="1"/>
        <v>2603.3550693845568</v>
      </c>
      <c r="M29" s="34"/>
      <c r="N29" s="45">
        <f t="shared" si="2"/>
        <v>143.57506938455475</v>
      </c>
    </row>
    <row r="30" spans="1:14" s="5" customFormat="1" ht="13.5" customHeight="1">
      <c r="A30" s="36">
        <v>44706</v>
      </c>
      <c r="B30" s="159" t="s">
        <v>115</v>
      </c>
      <c r="C30" s="160"/>
      <c r="D30" s="37"/>
      <c r="E30" s="33" t="s">
        <v>138</v>
      </c>
      <c r="F30" s="35"/>
      <c r="G30" s="103"/>
      <c r="H30" s="77"/>
      <c r="I30" s="177">
        <v>3.6</v>
      </c>
      <c r="J30" s="86">
        <f>I30/'통장내역(환율표)'!$D$12</f>
        <v>0.56721496627528234</v>
      </c>
      <c r="K30" s="82">
        <f t="shared" si="0"/>
        <v>17394.235986968222</v>
      </c>
      <c r="L30" s="38">
        <f t="shared" si="1"/>
        <v>2602.7878544182818</v>
      </c>
      <c r="M30" s="34"/>
      <c r="N30" s="45">
        <f t="shared" si="2"/>
        <v>143.00785441827946</v>
      </c>
    </row>
    <row r="31" spans="1:14" s="5" customFormat="1" ht="13.5" customHeight="1">
      <c r="A31" s="36">
        <v>44706</v>
      </c>
      <c r="B31" s="159" t="s">
        <v>117</v>
      </c>
      <c r="C31" s="160"/>
      <c r="D31" s="37">
        <v>4</v>
      </c>
      <c r="E31" s="33" t="s">
        <v>139</v>
      </c>
      <c r="F31" s="35" t="s">
        <v>140</v>
      </c>
      <c r="G31" s="103"/>
      <c r="H31" s="77"/>
      <c r="I31" s="177">
        <v>115.56</v>
      </c>
      <c r="J31" s="86">
        <f>I31/'통장내역(환율표)'!$D$12</f>
        <v>18.207600417436563</v>
      </c>
      <c r="K31" s="82">
        <f t="shared" si="0"/>
        <v>17278.675986968221</v>
      </c>
      <c r="L31" s="38">
        <f t="shared" si="1"/>
        <v>2584.5802540008453</v>
      </c>
      <c r="M31" s="34"/>
      <c r="N31" s="45">
        <f t="shared" si="2"/>
        <v>124.8002540008429</v>
      </c>
    </row>
    <row r="32" spans="1:14" s="5" customFormat="1" ht="13.5" customHeight="1">
      <c r="A32" s="36">
        <v>44706</v>
      </c>
      <c r="B32" s="159" t="s">
        <v>115</v>
      </c>
      <c r="C32" s="160"/>
      <c r="D32" s="37"/>
      <c r="E32" s="33" t="s">
        <v>138</v>
      </c>
      <c r="F32" s="35"/>
      <c r="G32" s="103"/>
      <c r="H32" s="77"/>
      <c r="I32" s="177">
        <v>3.6</v>
      </c>
      <c r="J32" s="86">
        <f>I32/'통장내역(환율표)'!$D$12</f>
        <v>0.56721496627528234</v>
      </c>
      <c r="K32" s="82">
        <f t="shared" si="0"/>
        <v>17275.075986968222</v>
      </c>
      <c r="L32" s="38">
        <f t="shared" si="1"/>
        <v>2584.0130390345703</v>
      </c>
      <c r="M32" s="34"/>
      <c r="N32" s="45">
        <f t="shared" si="2"/>
        <v>124.23303903456761</v>
      </c>
    </row>
    <row r="33" spans="1:14" s="5" customFormat="1" ht="13.5" customHeight="1">
      <c r="A33" s="36">
        <v>44706</v>
      </c>
      <c r="B33" s="159" t="s">
        <v>118</v>
      </c>
      <c r="C33" s="160"/>
      <c r="D33" s="37">
        <v>5</v>
      </c>
      <c r="E33" s="33" t="s">
        <v>139</v>
      </c>
      <c r="F33" s="35" t="s">
        <v>140</v>
      </c>
      <c r="G33" s="103"/>
      <c r="H33" s="77"/>
      <c r="I33" s="177">
        <v>399</v>
      </c>
      <c r="J33" s="86">
        <f>I33/'통장내역(환율표)'!$D$12</f>
        <v>62.866325428843787</v>
      </c>
      <c r="K33" s="82">
        <f t="shared" si="0"/>
        <v>16876.075986968222</v>
      </c>
      <c r="L33" s="38">
        <f t="shared" si="1"/>
        <v>2521.1467136057263</v>
      </c>
      <c r="M33" s="34"/>
      <c r="N33" s="45">
        <f t="shared" si="2"/>
        <v>61.366713605723824</v>
      </c>
    </row>
    <row r="34" spans="1:14" s="5" customFormat="1" ht="13.5" customHeight="1">
      <c r="A34" s="36">
        <v>44706</v>
      </c>
      <c r="B34" s="159" t="s">
        <v>115</v>
      </c>
      <c r="C34" s="160"/>
      <c r="D34" s="37"/>
      <c r="E34" s="33" t="s">
        <v>138</v>
      </c>
      <c r="F34" s="35"/>
      <c r="G34" s="103"/>
      <c r="H34" s="77"/>
      <c r="I34" s="177">
        <v>3.6</v>
      </c>
      <c r="J34" s="86">
        <f>I34/'통장내역(환율표)'!$D$12</f>
        <v>0.56721496627528234</v>
      </c>
      <c r="K34" s="82">
        <f t="shared" si="0"/>
        <v>16872.475986968224</v>
      </c>
      <c r="L34" s="38">
        <f t="shared" si="1"/>
        <v>2520.5794986394512</v>
      </c>
      <c r="M34" s="34"/>
      <c r="N34" s="45">
        <f t="shared" si="2"/>
        <v>60.799498639448544</v>
      </c>
    </row>
    <row r="35" spans="1:14" s="5" customFormat="1" ht="13.5" customHeight="1">
      <c r="A35" s="36">
        <v>44706</v>
      </c>
      <c r="B35" s="159" t="s">
        <v>119</v>
      </c>
      <c r="C35" s="160"/>
      <c r="D35" s="37">
        <v>6</v>
      </c>
      <c r="E35" s="33" t="s">
        <v>138</v>
      </c>
      <c r="F35" s="35"/>
      <c r="G35" s="103"/>
      <c r="H35" s="77"/>
      <c r="I35" s="177">
        <v>368.47</v>
      </c>
      <c r="J35" s="86">
        <f>I35/'통장내역(환율표)'!$D$12</f>
        <v>58.056027395403689</v>
      </c>
      <c r="K35" s="82">
        <f t="shared" si="0"/>
        <v>16504.005986968223</v>
      </c>
      <c r="L35" s="38">
        <f t="shared" si="1"/>
        <v>2462.5234712440474</v>
      </c>
      <c r="M35" s="34"/>
      <c r="N35" s="45">
        <f t="shared" si="2"/>
        <v>2.743471244044855</v>
      </c>
    </row>
    <row r="36" spans="1:14" s="5" customFormat="1" ht="13.5" customHeight="1">
      <c r="A36" s="36">
        <v>44706</v>
      </c>
      <c r="B36" s="159" t="s">
        <v>115</v>
      </c>
      <c r="C36" s="160"/>
      <c r="D36" s="37"/>
      <c r="E36" s="33" t="s">
        <v>138</v>
      </c>
      <c r="F36" s="35"/>
      <c r="G36" s="103"/>
      <c r="H36" s="77"/>
      <c r="I36" s="177">
        <v>3.6</v>
      </c>
      <c r="J36" s="86">
        <f>I36/'통장내역(환율표)'!$D$12</f>
        <v>0.56721496627528234</v>
      </c>
      <c r="K36" s="82">
        <f t="shared" si="0"/>
        <v>16500.405986968224</v>
      </c>
      <c r="L36" s="38">
        <f t="shared" si="1"/>
        <v>2461.9562562777724</v>
      </c>
      <c r="M36" s="34"/>
      <c r="N36" s="45">
        <f t="shared" si="2"/>
        <v>2.1762562777695726</v>
      </c>
    </row>
    <row r="37" spans="1:14" s="5" customFormat="1" ht="13.5" customHeight="1">
      <c r="A37" s="57">
        <v>44706</v>
      </c>
      <c r="B37" s="181" t="s">
        <v>136</v>
      </c>
      <c r="C37" s="182"/>
      <c r="D37" s="60">
        <v>7</v>
      </c>
      <c r="E37" s="59" t="s">
        <v>21</v>
      </c>
      <c r="F37" s="61"/>
      <c r="G37" s="183"/>
      <c r="H37" s="78"/>
      <c r="I37" s="184">
        <f>J37*'통장내역(환율표)'!$D$12</f>
        <v>13.812263543427362</v>
      </c>
      <c r="J37" s="86">
        <v>2.1762562777695726</v>
      </c>
      <c r="K37" s="83">
        <f t="shared" si="0"/>
        <v>16486.593723424798</v>
      </c>
      <c r="L37" s="62">
        <f t="shared" si="1"/>
        <v>2459.7800000000029</v>
      </c>
      <c r="M37" s="58"/>
      <c r="N37" s="45">
        <f t="shared" si="2"/>
        <v>0</v>
      </c>
    </row>
    <row r="38" spans="1:14" s="5" customFormat="1" ht="13.5" customHeight="1">
      <c r="A38" s="57">
        <v>44706</v>
      </c>
      <c r="B38" s="181" t="s">
        <v>137</v>
      </c>
      <c r="C38" s="182"/>
      <c r="D38" s="60">
        <v>7</v>
      </c>
      <c r="E38" s="59" t="s">
        <v>21</v>
      </c>
      <c r="F38" s="61"/>
      <c r="G38" s="183"/>
      <c r="H38" s="78"/>
      <c r="I38" s="184">
        <f>300-I37</f>
        <v>286.18773645657262</v>
      </c>
      <c r="J38" s="178">
        <f>I38/'통장내역(환율표)'!$D$18</f>
        <v>42.698021848904972</v>
      </c>
      <c r="K38" s="83">
        <f t="shared" si="0"/>
        <v>16200.405986968224</v>
      </c>
      <c r="L38" s="62">
        <f t="shared" si="1"/>
        <v>2417.0819781510982</v>
      </c>
      <c r="M38" s="58"/>
      <c r="N38" s="45">
        <f>2459.78-J38</f>
        <v>2417.0819781510954</v>
      </c>
    </row>
    <row r="39" spans="1:14" s="5" customFormat="1" ht="13.5" customHeight="1">
      <c r="A39" s="36">
        <v>44706</v>
      </c>
      <c r="B39" s="159" t="s">
        <v>115</v>
      </c>
      <c r="C39" s="160"/>
      <c r="D39" s="37"/>
      <c r="E39" s="33" t="s">
        <v>138</v>
      </c>
      <c r="F39" s="35"/>
      <c r="G39" s="103"/>
      <c r="H39" s="77"/>
      <c r="I39" s="177">
        <v>3.6</v>
      </c>
      <c r="J39" s="178">
        <f>I39/'통장내역(환율표)'!$D$18</f>
        <v>0.53710505054916269</v>
      </c>
      <c r="K39" s="82">
        <f t="shared" si="0"/>
        <v>16196.805986968224</v>
      </c>
      <c r="L39" s="38">
        <f t="shared" si="1"/>
        <v>2416.544873100549</v>
      </c>
      <c r="M39" s="34"/>
      <c r="N39" s="45">
        <f t="shared" ref="N39:N55" si="3">N38-J39</f>
        <v>2416.5448731005463</v>
      </c>
    </row>
    <row r="40" spans="1:14" s="5" customFormat="1" ht="13.5" customHeight="1">
      <c r="A40" s="36">
        <v>44706</v>
      </c>
      <c r="B40" s="159" t="s">
        <v>120</v>
      </c>
      <c r="C40" s="160"/>
      <c r="D40" s="37">
        <v>8</v>
      </c>
      <c r="E40" s="33" t="s">
        <v>138</v>
      </c>
      <c r="F40" s="35"/>
      <c r="G40" s="103"/>
      <c r="H40" s="77"/>
      <c r="I40" s="177">
        <v>1674</v>
      </c>
      <c r="J40" s="178">
        <f>I40/'통장내역(환율표)'!$D$18</f>
        <v>249.75384850536065</v>
      </c>
      <c r="K40" s="82">
        <f t="shared" si="0"/>
        <v>14522.805986968224</v>
      </c>
      <c r="L40" s="38">
        <f t="shared" si="1"/>
        <v>2166.7910245951884</v>
      </c>
      <c r="M40" s="34" t="s">
        <v>143</v>
      </c>
      <c r="N40" s="45">
        <f t="shared" si="3"/>
        <v>2166.7910245951857</v>
      </c>
    </row>
    <row r="41" spans="1:14" s="5" customFormat="1" ht="13.5" customHeight="1">
      <c r="A41" s="36">
        <v>44706</v>
      </c>
      <c r="B41" s="159" t="s">
        <v>115</v>
      </c>
      <c r="C41" s="160"/>
      <c r="D41" s="37"/>
      <c r="E41" s="33" t="s">
        <v>138</v>
      </c>
      <c r="F41" s="35"/>
      <c r="G41" s="103"/>
      <c r="H41" s="77"/>
      <c r="I41" s="177">
        <v>3.6</v>
      </c>
      <c r="J41" s="178">
        <f>I41/'통장내역(환율표)'!$D$18</f>
        <v>0.53710505054916269</v>
      </c>
      <c r="K41" s="82">
        <f t="shared" si="0"/>
        <v>14519.205986968223</v>
      </c>
      <c r="L41" s="38">
        <f t="shared" si="1"/>
        <v>2166.2539195446393</v>
      </c>
      <c r="M41" s="34"/>
      <c r="N41" s="45">
        <f t="shared" si="3"/>
        <v>2166.2539195446366</v>
      </c>
    </row>
    <row r="42" spans="1:14" s="5" customFormat="1" ht="13.5" customHeight="1">
      <c r="A42" s="36">
        <v>44706</v>
      </c>
      <c r="B42" s="159" t="s">
        <v>121</v>
      </c>
      <c r="C42" s="160"/>
      <c r="D42" s="37">
        <v>9</v>
      </c>
      <c r="E42" s="33" t="s">
        <v>138</v>
      </c>
      <c r="F42" s="35"/>
      <c r="G42" s="103"/>
      <c r="H42" s="77"/>
      <c r="I42" s="177">
        <v>550</v>
      </c>
      <c r="J42" s="178">
        <f>I42/'통장내역(환율표)'!$D$18</f>
        <v>82.057716056122075</v>
      </c>
      <c r="K42" s="82">
        <f t="shared" si="0"/>
        <v>13969.205986968223</v>
      </c>
      <c r="L42" s="38">
        <f t="shared" si="1"/>
        <v>2084.1962034885173</v>
      </c>
      <c r="M42" s="34"/>
      <c r="N42" s="45">
        <f t="shared" si="3"/>
        <v>2084.1962034885146</v>
      </c>
    </row>
    <row r="43" spans="1:14" s="5" customFormat="1" ht="13.5" customHeight="1">
      <c r="A43" s="36">
        <v>44706</v>
      </c>
      <c r="B43" s="159" t="s">
        <v>115</v>
      </c>
      <c r="C43" s="160"/>
      <c r="D43" s="37"/>
      <c r="E43" s="33" t="s">
        <v>138</v>
      </c>
      <c r="F43" s="35"/>
      <c r="G43" s="103"/>
      <c r="H43" s="77"/>
      <c r="I43" s="177">
        <v>3.6</v>
      </c>
      <c r="J43" s="178">
        <f>I43/'통장내역(환율표)'!$D$18</f>
        <v>0.53710505054916269</v>
      </c>
      <c r="K43" s="82">
        <f t="shared" si="0"/>
        <v>13965.605986968223</v>
      </c>
      <c r="L43" s="38">
        <f t="shared" si="1"/>
        <v>2083.6590984379682</v>
      </c>
      <c r="M43" s="34"/>
      <c r="N43" s="45">
        <f t="shared" si="3"/>
        <v>2083.6590984379654</v>
      </c>
    </row>
    <row r="44" spans="1:14" s="5" customFormat="1" ht="13.5" customHeight="1">
      <c r="A44" s="36">
        <v>44706</v>
      </c>
      <c r="B44" s="159" t="s">
        <v>122</v>
      </c>
      <c r="C44" s="160"/>
      <c r="D44" s="37">
        <v>10</v>
      </c>
      <c r="E44" s="33" t="s">
        <v>138</v>
      </c>
      <c r="F44" s="35"/>
      <c r="G44" s="103"/>
      <c r="H44" s="77"/>
      <c r="I44" s="177">
        <v>180</v>
      </c>
      <c r="J44" s="178">
        <f>I44/'통장내역(환율표)'!$D$18</f>
        <v>26.855252527458134</v>
      </c>
      <c r="K44" s="82">
        <f t="shared" si="0"/>
        <v>13785.605986968223</v>
      </c>
      <c r="L44" s="38">
        <f t="shared" si="1"/>
        <v>2056.8038459105101</v>
      </c>
      <c r="M44" s="34"/>
      <c r="N44" s="45">
        <f t="shared" si="3"/>
        <v>2056.8038459105073</v>
      </c>
    </row>
    <row r="45" spans="1:14" s="5" customFormat="1" ht="13.5" customHeight="1">
      <c r="A45" s="36">
        <v>44706</v>
      </c>
      <c r="B45" s="159" t="s">
        <v>115</v>
      </c>
      <c r="C45" s="160"/>
      <c r="D45" s="37"/>
      <c r="E45" s="33" t="s">
        <v>138</v>
      </c>
      <c r="F45" s="35"/>
      <c r="G45" s="103"/>
      <c r="H45" s="77"/>
      <c r="I45" s="177">
        <v>3.6</v>
      </c>
      <c r="J45" s="178">
        <f>I45/'통장내역(환율표)'!$D$18</f>
        <v>0.53710505054916269</v>
      </c>
      <c r="K45" s="82">
        <f t="shared" si="0"/>
        <v>13782.005986968223</v>
      </c>
      <c r="L45" s="38">
        <f t="shared" si="1"/>
        <v>2056.2667408599609</v>
      </c>
      <c r="M45" s="34"/>
      <c r="N45" s="45">
        <f t="shared" si="3"/>
        <v>2056.2667408599582</v>
      </c>
    </row>
    <row r="46" spans="1:14" s="5" customFormat="1" ht="13.5" customHeight="1">
      <c r="A46" s="36">
        <v>44706</v>
      </c>
      <c r="B46" s="159" t="s">
        <v>123</v>
      </c>
      <c r="C46" s="160"/>
      <c r="D46" s="37">
        <v>11</v>
      </c>
      <c r="E46" s="33" t="s">
        <v>138</v>
      </c>
      <c r="F46" s="35"/>
      <c r="G46" s="103"/>
      <c r="H46" s="77"/>
      <c r="I46" s="177">
        <v>270</v>
      </c>
      <c r="J46" s="178">
        <f>I46/'통장내역(환율표)'!$D$18</f>
        <v>40.282878791187201</v>
      </c>
      <c r="K46" s="82">
        <f t="shared" si="0"/>
        <v>13512.005986968223</v>
      </c>
      <c r="L46" s="38">
        <f t="shared" si="1"/>
        <v>2015.9838620687738</v>
      </c>
      <c r="M46" s="34"/>
      <c r="N46" s="45">
        <f t="shared" si="3"/>
        <v>2015.983862068771</v>
      </c>
    </row>
    <row r="47" spans="1:14" s="5" customFormat="1" ht="13.5" customHeight="1">
      <c r="A47" s="36">
        <v>44706</v>
      </c>
      <c r="B47" s="159" t="s">
        <v>115</v>
      </c>
      <c r="C47" s="160"/>
      <c r="D47" s="37"/>
      <c r="E47" s="33" t="s">
        <v>138</v>
      </c>
      <c r="F47" s="35"/>
      <c r="G47" s="103"/>
      <c r="H47" s="77"/>
      <c r="I47" s="177">
        <v>3.6</v>
      </c>
      <c r="J47" s="178">
        <f>I47/'통장내역(환율표)'!$D$18</f>
        <v>0.53710505054916269</v>
      </c>
      <c r="K47" s="82">
        <f t="shared" si="0"/>
        <v>13508.405986968222</v>
      </c>
      <c r="L47" s="38">
        <f t="shared" si="1"/>
        <v>2015.4467570182246</v>
      </c>
      <c r="M47" s="34"/>
      <c r="N47" s="45">
        <f t="shared" si="3"/>
        <v>2015.4467570182219</v>
      </c>
    </row>
    <row r="48" spans="1:14" s="5" customFormat="1" ht="13.5" customHeight="1">
      <c r="A48" s="36">
        <v>44706</v>
      </c>
      <c r="B48" s="159" t="s">
        <v>124</v>
      </c>
      <c r="C48" s="160"/>
      <c r="D48" s="37">
        <v>12</v>
      </c>
      <c r="E48" s="33" t="s">
        <v>138</v>
      </c>
      <c r="F48" s="35"/>
      <c r="G48" s="103"/>
      <c r="H48" s="77"/>
      <c r="I48" s="177">
        <v>632.9</v>
      </c>
      <c r="J48" s="178">
        <f>I48/'통장내역(환율표)'!$D$18</f>
        <v>94.426051803490296</v>
      </c>
      <c r="K48" s="82">
        <f t="shared" si="0"/>
        <v>12875.505986968223</v>
      </c>
      <c r="L48" s="38">
        <f t="shared" si="1"/>
        <v>1921.0207052147343</v>
      </c>
      <c r="M48" s="34"/>
      <c r="N48" s="45">
        <f t="shared" si="3"/>
        <v>1921.0207052147316</v>
      </c>
    </row>
    <row r="49" spans="1:14" s="5" customFormat="1" ht="13.5" customHeight="1">
      <c r="A49" s="36">
        <v>44706</v>
      </c>
      <c r="B49" s="159" t="s">
        <v>115</v>
      </c>
      <c r="C49" s="160"/>
      <c r="D49" s="37"/>
      <c r="E49" s="33" t="s">
        <v>138</v>
      </c>
      <c r="F49" s="35"/>
      <c r="G49" s="103"/>
      <c r="H49" s="77"/>
      <c r="I49" s="177">
        <v>3.6</v>
      </c>
      <c r="J49" s="178">
        <f>I49/'통장내역(환율표)'!$D$18</f>
        <v>0.53710505054916269</v>
      </c>
      <c r="K49" s="82">
        <f t="shared" si="0"/>
        <v>12871.905986968222</v>
      </c>
      <c r="L49" s="38">
        <f t="shared" si="1"/>
        <v>1920.4836001641852</v>
      </c>
      <c r="M49" s="34"/>
      <c r="N49" s="45">
        <f t="shared" si="3"/>
        <v>1920.4836001641825</v>
      </c>
    </row>
    <row r="50" spans="1:14" s="5" customFormat="1" ht="13.5" customHeight="1">
      <c r="A50" s="36">
        <v>44706</v>
      </c>
      <c r="B50" s="159" t="s">
        <v>125</v>
      </c>
      <c r="C50" s="160"/>
      <c r="D50" s="37">
        <v>13</v>
      </c>
      <c r="E50" s="33" t="s">
        <v>144</v>
      </c>
      <c r="F50" s="35" t="s">
        <v>145</v>
      </c>
      <c r="G50" s="103"/>
      <c r="H50" s="77"/>
      <c r="I50" s="177">
        <v>1270</v>
      </c>
      <c r="J50" s="178">
        <f>I50/'통장내역(환율표)'!$D$18</f>
        <v>189.47872616595461</v>
      </c>
      <c r="K50" s="82">
        <f t="shared" si="0"/>
        <v>11601.905986968222</v>
      </c>
      <c r="L50" s="38">
        <f t="shared" si="1"/>
        <v>1731.0048739982306</v>
      </c>
      <c r="M50" s="34"/>
      <c r="N50" s="45">
        <f t="shared" si="3"/>
        <v>1731.0048739982278</v>
      </c>
    </row>
    <row r="51" spans="1:14" s="5" customFormat="1" ht="13.5" customHeight="1">
      <c r="A51" s="36">
        <v>44706</v>
      </c>
      <c r="B51" s="159" t="s">
        <v>126</v>
      </c>
      <c r="C51" s="160"/>
      <c r="D51" s="37"/>
      <c r="E51" s="33" t="s">
        <v>138</v>
      </c>
      <c r="F51" s="35"/>
      <c r="G51" s="103"/>
      <c r="H51" s="77"/>
      <c r="I51" s="177">
        <v>3.6</v>
      </c>
      <c r="J51" s="178">
        <f>I51/'통장내역(환율표)'!$D$18</f>
        <v>0.53710505054916269</v>
      </c>
      <c r="K51" s="82">
        <f t="shared" si="0"/>
        <v>11598.305986968222</v>
      </c>
      <c r="L51" s="38">
        <f t="shared" si="1"/>
        <v>1730.4677689476814</v>
      </c>
      <c r="M51" s="34"/>
      <c r="N51" s="45">
        <f t="shared" si="3"/>
        <v>1730.4677689476787</v>
      </c>
    </row>
    <row r="52" spans="1:14" s="5" customFormat="1" ht="13.5" customHeight="1">
      <c r="A52" s="36">
        <v>44706</v>
      </c>
      <c r="B52" s="159" t="s">
        <v>127</v>
      </c>
      <c r="C52" s="160"/>
      <c r="D52" s="37">
        <v>14</v>
      </c>
      <c r="E52" s="33" t="s">
        <v>146</v>
      </c>
      <c r="F52" s="35" t="s">
        <v>147</v>
      </c>
      <c r="G52" s="103"/>
      <c r="H52" s="77"/>
      <c r="I52" s="177">
        <v>7166</v>
      </c>
      <c r="J52" s="178">
        <f>I52/'통장내역(환율표)'!$D$18</f>
        <v>1069.1374422875833</v>
      </c>
      <c r="K52" s="82">
        <f t="shared" si="0"/>
        <v>4432.305986968222</v>
      </c>
      <c r="L52" s="38">
        <f t="shared" si="1"/>
        <v>661.33032666009808</v>
      </c>
      <c r="M52" s="34"/>
      <c r="N52" s="45">
        <f t="shared" si="3"/>
        <v>661.33032666009535</v>
      </c>
    </row>
    <row r="53" spans="1:14" s="5" customFormat="1" ht="13.5" customHeight="1">
      <c r="A53" s="36">
        <v>44706</v>
      </c>
      <c r="B53" s="159" t="s">
        <v>126</v>
      </c>
      <c r="C53" s="160"/>
      <c r="D53" s="37"/>
      <c r="E53" s="33" t="s">
        <v>138</v>
      </c>
      <c r="F53" s="35"/>
      <c r="G53" s="103"/>
      <c r="H53" s="77"/>
      <c r="I53" s="177">
        <v>3.6</v>
      </c>
      <c r="J53" s="178">
        <f>I53/'통장내역(환율표)'!$D$18</f>
        <v>0.53710505054916269</v>
      </c>
      <c r="K53" s="82">
        <f t="shared" si="0"/>
        <v>4428.7059869682216</v>
      </c>
      <c r="L53" s="38">
        <f t="shared" si="1"/>
        <v>660.79322160954894</v>
      </c>
      <c r="M53" s="34"/>
      <c r="N53" s="45">
        <f t="shared" si="3"/>
        <v>660.79322160954621</v>
      </c>
    </row>
    <row r="54" spans="1:14" s="5" customFormat="1" ht="13.5" customHeight="1">
      <c r="A54" s="36">
        <v>44706</v>
      </c>
      <c r="B54" s="159" t="s">
        <v>128</v>
      </c>
      <c r="C54" s="160"/>
      <c r="D54" s="37">
        <v>15</v>
      </c>
      <c r="E54" s="33" t="s">
        <v>144</v>
      </c>
      <c r="F54" s="35" t="s">
        <v>145</v>
      </c>
      <c r="G54" s="103"/>
      <c r="H54" s="77"/>
      <c r="I54" s="177">
        <v>179</v>
      </c>
      <c r="J54" s="178">
        <f>I54/'통장내역(환율표)'!$D$18</f>
        <v>26.706056680083368</v>
      </c>
      <c r="K54" s="82">
        <f t="shared" si="0"/>
        <v>4249.7059869682216</v>
      </c>
      <c r="L54" s="38">
        <f t="shared" si="1"/>
        <v>634.08716492946553</v>
      </c>
      <c r="M54" s="34"/>
      <c r="N54" s="45">
        <f t="shared" si="3"/>
        <v>634.0871649294628</v>
      </c>
    </row>
    <row r="55" spans="1:14" s="5" customFormat="1" ht="13.5" customHeight="1">
      <c r="A55" s="36">
        <v>44706</v>
      </c>
      <c r="B55" s="159" t="s">
        <v>126</v>
      </c>
      <c r="C55" s="160"/>
      <c r="D55" s="37"/>
      <c r="E55" s="33" t="s">
        <v>138</v>
      </c>
      <c r="F55" s="35"/>
      <c r="G55" s="103"/>
      <c r="H55" s="77"/>
      <c r="I55" s="177">
        <v>3.6</v>
      </c>
      <c r="J55" s="178">
        <f>I55/'통장내역(환율표)'!$D$18</f>
        <v>0.53710505054916269</v>
      </c>
      <c r="K55" s="82">
        <f t="shared" si="0"/>
        <v>4246.1059869682213</v>
      </c>
      <c r="L55" s="38">
        <f t="shared" si="1"/>
        <v>633.55005987891639</v>
      </c>
      <c r="M55" s="34"/>
      <c r="N55" s="45">
        <f t="shared" si="3"/>
        <v>633.55005987891366</v>
      </c>
    </row>
    <row r="56" spans="1:14">
      <c r="I56" s="205">
        <v>4741.1000000000004</v>
      </c>
      <c r="J56" s="178">
        <f>I56/'통장내역(환율표)'!$D$18</f>
        <v>707.35243198850992</v>
      </c>
    </row>
    <row r="57" spans="1:14">
      <c r="I57" s="218">
        <v>19440</v>
      </c>
      <c r="J57" s="178">
        <f>I57/'통장내역(환율표)'!$D$18</f>
        <v>2900.3672729654786</v>
      </c>
    </row>
  </sheetData>
  <autoFilter ref="A16:N55" xr:uid="{00000000-0009-0000-0000-000003000000}">
    <filterColumn colId="1" showButton="0"/>
  </autoFilter>
  <mergeCells count="11"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2"/>
  <sheetViews>
    <sheetView showGridLines="0" topLeftCell="A28" workbookViewId="0">
      <selection activeCell="G31" sqref="G31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125" bestFit="1" customWidth="1"/>
    <col min="10" max="11" width="13.5" bestFit="1" customWidth="1"/>
    <col min="12" max="12" width="11.625" bestFit="1" customWidth="1"/>
    <col min="13" max="13" width="37.875" bestFit="1" customWidth="1"/>
    <col min="14" max="14" width="9.625" bestFit="1" customWidth="1"/>
    <col min="15" max="16" width="9.25" bestFit="1" customWidth="1"/>
    <col min="17" max="17" width="10.5" bestFit="1" customWidth="1"/>
  </cols>
  <sheetData>
    <row r="1" spans="1:13" ht="24">
      <c r="A1" s="1" t="s">
        <v>231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229</v>
      </c>
      <c r="B2" s="2"/>
      <c r="C2" s="2"/>
      <c r="E2" s="4">
        <v>100034688</v>
      </c>
      <c r="F2" s="7"/>
      <c r="G2" s="5" t="s">
        <v>230</v>
      </c>
      <c r="H2" s="2"/>
      <c r="I2" s="2"/>
      <c r="K2" s="4">
        <v>100034689</v>
      </c>
      <c r="L2" s="139">
        <v>1200000696</v>
      </c>
    </row>
    <row r="3" spans="1:13" s="5" customFormat="1" ht="27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</row>
    <row r="5" spans="1:13" s="5" customFormat="1" ht="13.5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</row>
    <row r="6" spans="1:13" s="5" customFormat="1" ht="13.5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7533</v>
      </c>
      <c r="J6" s="116">
        <v>1121.1664408317965</v>
      </c>
      <c r="K6" s="117">
        <v>1409983</v>
      </c>
      <c r="L6" s="119"/>
    </row>
    <row r="7" spans="1:13" s="5" customFormat="1" ht="13.5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>
        <v>38880</v>
      </c>
      <c r="J7" s="116">
        <v>5786.6655010673367</v>
      </c>
      <c r="K7" s="117">
        <v>7277316</v>
      </c>
      <c r="L7" s="119"/>
    </row>
    <row r="8" spans="1:13" s="5" customFormat="1" ht="13.5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>
        <v>16500</v>
      </c>
      <c r="J8" s="116">
        <v>2455.7608222122185</v>
      </c>
      <c r="K8" s="117">
        <v>3088364</v>
      </c>
      <c r="L8" s="119"/>
    </row>
    <row r="9" spans="1:13" s="5" customFormat="1" ht="13.5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>
        <v>899</v>
      </c>
      <c r="J9" s="116">
        <v>133.80175631325966</v>
      </c>
      <c r="K9" s="117">
        <v>168267</v>
      </c>
      <c r="L9" s="119">
        <v>89500</v>
      </c>
    </row>
    <row r="10" spans="1:13" s="5" customFormat="1" ht="13.5">
      <c r="A10" s="114" t="s">
        <v>21</v>
      </c>
      <c r="B10" s="115"/>
      <c r="C10" s="116">
        <v>4266.26226354343</v>
      </c>
      <c r="D10" s="116">
        <v>636.5086135323553</v>
      </c>
      <c r="E10" s="117">
        <v>811296</v>
      </c>
      <c r="F10" s="121">
        <v>51321010</v>
      </c>
      <c r="G10" s="114" t="s">
        <v>21</v>
      </c>
      <c r="H10" s="115"/>
      <c r="I10" s="116">
        <v>73193.057736456598</v>
      </c>
      <c r="J10" s="116">
        <v>10919.614766491326</v>
      </c>
      <c r="K10" s="117">
        <v>13732502</v>
      </c>
      <c r="L10" s="119"/>
    </row>
    <row r="11" spans="1:13" s="5" customFormat="1" ht="13.5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.5">
      <c r="A12" s="1493" t="s">
        <v>22</v>
      </c>
      <c r="B12" s="1494"/>
      <c r="C12" s="124">
        <f>SUM(C4:C11)</f>
        <v>4266.26226354343</v>
      </c>
      <c r="D12" s="124">
        <f>SUM(D4:D11)</f>
        <v>636.5086135323553</v>
      </c>
      <c r="E12" s="125">
        <f>SUM(E4:E11)</f>
        <v>811296</v>
      </c>
      <c r="F12" s="121">
        <v>52981010</v>
      </c>
      <c r="G12" s="1493" t="s">
        <v>22</v>
      </c>
      <c r="H12" s="1494"/>
      <c r="I12" s="124">
        <f>SUM(I4:I10)</f>
        <v>137005.0577364566</v>
      </c>
      <c r="J12" s="124">
        <f>SUM(J4:J10)</f>
        <v>20417.009286915938</v>
      </c>
      <c r="K12" s="125">
        <f>SUM(K4:K10)</f>
        <v>25676432</v>
      </c>
      <c r="L12" s="119"/>
    </row>
    <row r="13" spans="1:13" s="5" customFormat="1" ht="13.5">
      <c r="A13" s="126"/>
      <c r="B13" s="127"/>
      <c r="C13" s="128">
        <f>C12+I12++O12</f>
        <v>141271.32000000004</v>
      </c>
      <c r="D13" s="128">
        <f>D12+J12++P12</f>
        <v>21053.517900448292</v>
      </c>
      <c r="E13" s="128">
        <f>E12+K12++Q12</f>
        <v>26487728</v>
      </c>
      <c r="F13" s="118"/>
      <c r="G13" s="130"/>
      <c r="H13" s="130"/>
      <c r="I13" s="131"/>
      <c r="J13" s="130"/>
      <c r="K13" s="130"/>
      <c r="L13" s="132"/>
    </row>
    <row r="14" spans="1:13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20527.268553653445</v>
      </c>
      <c r="I14" s="137">
        <f>SUBTOTAL(9,I17:I62)</f>
        <v>141271.32000000004</v>
      </c>
      <c r="J14" s="137">
        <f>SUBTOTAL(9,J17:J62)</f>
        <v>21053.517900448292</v>
      </c>
      <c r="K14" s="139"/>
      <c r="L14" s="45"/>
    </row>
    <row r="15" spans="1:13" s="5" customFormat="1" ht="13.5">
      <c r="A15" s="1495" t="s">
        <v>24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29</v>
      </c>
      <c r="H15" s="1502"/>
      <c r="I15" s="1501" t="s">
        <v>30</v>
      </c>
      <c r="J15" s="1503"/>
      <c r="K15" s="1489" t="s">
        <v>31</v>
      </c>
      <c r="L15" s="1490"/>
      <c r="M15" s="1491" t="s">
        <v>32</v>
      </c>
    </row>
    <row r="16" spans="1:13" s="5" customFormat="1" ht="13.5">
      <c r="A16" s="1496"/>
      <c r="B16" s="1498"/>
      <c r="C16" s="1498"/>
      <c r="D16" s="1498"/>
      <c r="E16" s="1498"/>
      <c r="F16" s="1500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2"/>
    </row>
    <row r="17" spans="1:14" s="5" customFormat="1" ht="13.5" customHeight="1">
      <c r="A17" s="105">
        <v>44712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4246.1059869682213</v>
      </c>
      <c r="L17" s="108">
        <v>633.55005987891639</v>
      </c>
      <c r="M17" s="106"/>
      <c r="N17" s="45">
        <v>633.55005987891366</v>
      </c>
    </row>
    <row r="18" spans="1:14" s="5" customFormat="1" ht="13.5" customHeight="1">
      <c r="A18" s="36">
        <v>44725</v>
      </c>
      <c r="B18" s="181" t="s">
        <v>192</v>
      </c>
      <c r="C18" s="182"/>
      <c r="D18" s="60">
        <v>1</v>
      </c>
      <c r="E18" s="59"/>
      <c r="F18" s="61"/>
      <c r="G18" s="183">
        <v>137726</v>
      </c>
      <c r="H18" s="78">
        <v>20524.310000000001</v>
      </c>
      <c r="I18" s="184"/>
      <c r="J18" s="102"/>
      <c r="K18" s="83">
        <f t="shared" ref="K18:L22" si="0">K17+G18-I18</f>
        <v>141972.10598696821</v>
      </c>
      <c r="L18" s="62">
        <f t="shared" si="0"/>
        <v>21157.860059878916</v>
      </c>
      <c r="M18" s="58"/>
      <c r="N18" s="45"/>
    </row>
    <row r="19" spans="1:14" s="5" customFormat="1" ht="13.5" customHeight="1">
      <c r="A19" s="36">
        <v>44725</v>
      </c>
      <c r="B19" s="181" t="s">
        <v>214</v>
      </c>
      <c r="C19" s="182"/>
      <c r="D19" s="60"/>
      <c r="E19" s="59" t="s">
        <v>215</v>
      </c>
      <c r="F19" s="61"/>
      <c r="G19" s="183"/>
      <c r="H19" s="78"/>
      <c r="I19" s="184"/>
      <c r="J19" s="220">
        <v>26</v>
      </c>
      <c r="K19" s="83">
        <f t="shared" si="0"/>
        <v>141972.10598696821</v>
      </c>
      <c r="L19" s="62">
        <f t="shared" si="0"/>
        <v>21131.860059878916</v>
      </c>
      <c r="M19" s="58"/>
      <c r="N19" s="45"/>
    </row>
    <row r="20" spans="1:14" s="5" customFormat="1" ht="13.5" customHeight="1">
      <c r="A20" s="36">
        <v>44733</v>
      </c>
      <c r="B20" s="159" t="s">
        <v>193</v>
      </c>
      <c r="C20" s="160"/>
      <c r="D20" s="37">
        <v>2</v>
      </c>
      <c r="E20" s="33" t="s">
        <v>60</v>
      </c>
      <c r="F20" s="35"/>
      <c r="G20" s="103">
        <v>19.829999999999998</v>
      </c>
      <c r="H20" s="77">
        <f>G20/'통장내역(환율표)'!$D$18</f>
        <v>2.9585536534416379</v>
      </c>
      <c r="I20" s="177"/>
      <c r="J20" s="178">
        <f>I20/'통장내역(환율표)'!$D$18</f>
        <v>0</v>
      </c>
      <c r="K20" s="82">
        <f t="shared" si="0"/>
        <v>141991.93598696819</v>
      </c>
      <c r="L20" s="38">
        <f t="shared" si="0"/>
        <v>21134.818613532359</v>
      </c>
      <c r="M20" s="34"/>
      <c r="N20" s="45">
        <f>N17-J20+H20</f>
        <v>636.5086135323553</v>
      </c>
    </row>
    <row r="21" spans="1:14" s="5" customFormat="1" ht="13.5" customHeight="1">
      <c r="A21" s="36">
        <v>44737</v>
      </c>
      <c r="B21" s="159" t="s">
        <v>205</v>
      </c>
      <c r="C21" s="160"/>
      <c r="D21" s="37">
        <v>3</v>
      </c>
      <c r="E21" s="33" t="s">
        <v>21</v>
      </c>
      <c r="F21" s="35"/>
      <c r="G21" s="103"/>
      <c r="H21" s="77"/>
      <c r="I21" s="177">
        <v>300</v>
      </c>
      <c r="J21" s="178">
        <f>I21/'통장내역(환율표)'!$D$18</f>
        <v>44.758754212430226</v>
      </c>
      <c r="K21" s="82">
        <f t="shared" si="0"/>
        <v>141691.93598696819</v>
      </c>
      <c r="L21" s="38">
        <f t="shared" si="0"/>
        <v>21090.059859319928</v>
      </c>
      <c r="M21" s="34" t="s">
        <v>210</v>
      </c>
      <c r="N21" s="45">
        <f>N20-J21+H21</f>
        <v>591.74985931992512</v>
      </c>
    </row>
    <row r="22" spans="1:14" s="5" customFormat="1" ht="13.5" customHeight="1">
      <c r="A22" s="223">
        <v>44737</v>
      </c>
      <c r="B22" s="224" t="s">
        <v>212</v>
      </c>
      <c r="C22" s="225"/>
      <c r="D22" s="226">
        <v>3</v>
      </c>
      <c r="E22" s="227" t="s">
        <v>21</v>
      </c>
      <c r="F22" s="228"/>
      <c r="G22" s="229"/>
      <c r="H22" s="230"/>
      <c r="I22" s="231">
        <f>J22*'통장내역(환율표)'!$D$18</f>
        <v>3966.26226354343</v>
      </c>
      <c r="J22" s="178">
        <v>591.74985931992512</v>
      </c>
      <c r="K22" s="232">
        <f t="shared" si="0"/>
        <v>137725.67372342476</v>
      </c>
      <c r="L22" s="233">
        <f t="shared" si="0"/>
        <v>20498.310000000005</v>
      </c>
      <c r="M22" s="234" t="s">
        <v>210</v>
      </c>
      <c r="N22" s="45">
        <f t="shared" ref="N22:N62" si="1">N21-J22+H22</f>
        <v>0</v>
      </c>
    </row>
    <row r="23" spans="1:14" s="5" customFormat="1" ht="13.5" customHeight="1">
      <c r="A23" s="223">
        <v>44737</v>
      </c>
      <c r="B23" s="224" t="s">
        <v>213</v>
      </c>
      <c r="C23" s="225"/>
      <c r="D23" s="226">
        <v>3</v>
      </c>
      <c r="E23" s="227" t="s">
        <v>21</v>
      </c>
      <c r="F23" s="228"/>
      <c r="G23" s="229"/>
      <c r="H23" s="230"/>
      <c r="I23" s="231">
        <f>7703.4-I22</f>
        <v>3737.1377364565697</v>
      </c>
      <c r="J23" s="220">
        <f>I23/'통장내역(환율표)'!$D$25</f>
        <v>556.21311760005426</v>
      </c>
      <c r="K23" s="232">
        <f t="shared" ref="K23:K38" si="2">K22+G23-I23</f>
        <v>133988.5359869682</v>
      </c>
      <c r="L23" s="233">
        <f t="shared" ref="L23:L38" si="3">L22+H23-J23</f>
        <v>19942.09688239995</v>
      </c>
      <c r="M23" s="234"/>
      <c r="N23" s="45">
        <f>20498.31-J23</f>
        <v>19942.096882399946</v>
      </c>
    </row>
    <row r="24" spans="1:14" s="5" customFormat="1" ht="13.5" customHeight="1">
      <c r="A24" s="36">
        <v>44737</v>
      </c>
      <c r="B24" s="159" t="s">
        <v>206</v>
      </c>
      <c r="C24" s="160"/>
      <c r="D24" s="37">
        <v>3</v>
      </c>
      <c r="E24" s="33" t="s">
        <v>21</v>
      </c>
      <c r="F24" s="35"/>
      <c r="G24" s="103"/>
      <c r="H24" s="77"/>
      <c r="I24" s="177">
        <v>13500</v>
      </c>
      <c r="J24" s="220">
        <f>I24/'통장내역(환율표)'!$D$25</f>
        <v>2009.2588545372696</v>
      </c>
      <c r="K24" s="82">
        <f t="shared" si="2"/>
        <v>120488.5359869682</v>
      </c>
      <c r="L24" s="38">
        <f t="shared" si="3"/>
        <v>17932.838027862679</v>
      </c>
      <c r="M24" s="34" t="s">
        <v>210</v>
      </c>
      <c r="N24" s="45">
        <f>N23-J24+H24</f>
        <v>17932.838027862676</v>
      </c>
    </row>
    <row r="25" spans="1:14" s="5" customFormat="1" ht="13.5" customHeight="1">
      <c r="A25" s="36">
        <v>44737</v>
      </c>
      <c r="B25" s="159" t="s">
        <v>207</v>
      </c>
      <c r="C25" s="160"/>
      <c r="D25" s="37">
        <v>3</v>
      </c>
      <c r="E25" s="33" t="s">
        <v>21</v>
      </c>
      <c r="F25" s="35"/>
      <c r="G25" s="103"/>
      <c r="H25" s="77"/>
      <c r="I25" s="177">
        <v>2552.2900000000009</v>
      </c>
      <c r="J25" s="220">
        <f>I25/'통장내역(환율표)'!$D$25</f>
        <v>379.86750235903185</v>
      </c>
      <c r="K25" s="82">
        <f t="shared" si="2"/>
        <v>117936.24598696819</v>
      </c>
      <c r="L25" s="38">
        <f t="shared" si="3"/>
        <v>17552.970525503646</v>
      </c>
      <c r="M25" s="34" t="s">
        <v>210</v>
      </c>
      <c r="N25" s="45">
        <f t="shared" si="1"/>
        <v>17552.970525503642</v>
      </c>
    </row>
    <row r="26" spans="1:14" s="5" customFormat="1" ht="13.5" customHeight="1">
      <c r="A26" s="36">
        <v>44737</v>
      </c>
      <c r="B26" s="159" t="s">
        <v>208</v>
      </c>
      <c r="C26" s="160"/>
      <c r="D26" s="37">
        <v>3</v>
      </c>
      <c r="E26" s="33" t="s">
        <v>21</v>
      </c>
      <c r="F26" s="35"/>
      <c r="G26" s="103"/>
      <c r="H26" s="77"/>
      <c r="I26" s="177">
        <v>20000</v>
      </c>
      <c r="J26" s="220">
        <f>I26/'통장내역(환율표)'!$D$25</f>
        <v>2976.6797844996586</v>
      </c>
      <c r="K26" s="82">
        <f t="shared" si="2"/>
        <v>97936.245986968192</v>
      </c>
      <c r="L26" s="38">
        <f t="shared" si="3"/>
        <v>14576.290741003988</v>
      </c>
      <c r="M26" s="34" t="s">
        <v>210</v>
      </c>
      <c r="N26" s="45">
        <f t="shared" si="1"/>
        <v>14576.290741003984</v>
      </c>
    </row>
    <row r="27" spans="1:14" s="5" customFormat="1" ht="13.5" customHeight="1">
      <c r="A27" s="36">
        <v>44737</v>
      </c>
      <c r="B27" s="159" t="s">
        <v>209</v>
      </c>
      <c r="C27" s="160"/>
      <c r="D27" s="37">
        <v>3</v>
      </c>
      <c r="E27" s="33" t="s">
        <v>21</v>
      </c>
      <c r="F27" s="35"/>
      <c r="G27" s="103"/>
      <c r="H27" s="77"/>
      <c r="I27" s="177">
        <v>7.2</v>
      </c>
      <c r="J27" s="220">
        <f>I27/'통장내역(환율표)'!$D$25</f>
        <v>1.0716047224198773</v>
      </c>
      <c r="K27" s="82">
        <f t="shared" si="2"/>
        <v>97929.045986968194</v>
      </c>
      <c r="L27" s="38">
        <f t="shared" si="3"/>
        <v>14575.219136281568</v>
      </c>
      <c r="M27" s="34"/>
      <c r="N27" s="45">
        <f t="shared" si="1"/>
        <v>14575.219136281565</v>
      </c>
    </row>
    <row r="28" spans="1:14" s="5" customFormat="1" ht="13.5" customHeight="1">
      <c r="A28" s="36">
        <v>44737</v>
      </c>
      <c r="B28" s="159" t="s">
        <v>205</v>
      </c>
      <c r="C28" s="160"/>
      <c r="D28" s="37">
        <v>4</v>
      </c>
      <c r="E28" s="33" t="s">
        <v>21</v>
      </c>
      <c r="F28" s="35"/>
      <c r="G28" s="103"/>
      <c r="H28" s="77"/>
      <c r="I28" s="177">
        <v>300</v>
      </c>
      <c r="J28" s="220">
        <f>I28/'통장내역(환율표)'!$D$25</f>
        <v>44.650196767494883</v>
      </c>
      <c r="K28" s="82">
        <f t="shared" si="2"/>
        <v>97629.045986968194</v>
      </c>
      <c r="L28" s="38">
        <f t="shared" si="3"/>
        <v>14530.568939514074</v>
      </c>
      <c r="M28" s="34" t="s">
        <v>211</v>
      </c>
      <c r="N28" s="45">
        <f t="shared" si="1"/>
        <v>14530.568939514071</v>
      </c>
    </row>
    <row r="29" spans="1:14" s="5" customFormat="1" ht="13.5" customHeight="1">
      <c r="A29" s="36">
        <v>44737</v>
      </c>
      <c r="B29" s="159" t="s">
        <v>207</v>
      </c>
      <c r="C29" s="160"/>
      <c r="D29" s="37">
        <v>4</v>
      </c>
      <c r="E29" s="33" t="s">
        <v>21</v>
      </c>
      <c r="F29" s="35"/>
      <c r="G29" s="103"/>
      <c r="H29" s="77"/>
      <c r="I29" s="177">
        <v>427.5</v>
      </c>
      <c r="J29" s="220">
        <f>I29/'통장내역(환율표)'!$D$25</f>
        <v>63.626530393680206</v>
      </c>
      <c r="K29" s="82">
        <f t="shared" si="2"/>
        <v>97201.545986968194</v>
      </c>
      <c r="L29" s="38">
        <f t="shared" si="3"/>
        <v>14466.942409120395</v>
      </c>
      <c r="M29" s="34" t="s">
        <v>211</v>
      </c>
      <c r="N29" s="45">
        <f t="shared" si="1"/>
        <v>14466.942409120391</v>
      </c>
    </row>
    <row r="30" spans="1:14" s="5" customFormat="1" ht="13.5" customHeight="1">
      <c r="A30" s="36">
        <v>44737</v>
      </c>
      <c r="B30" s="159" t="s">
        <v>206</v>
      </c>
      <c r="C30" s="160"/>
      <c r="D30" s="37">
        <v>4</v>
      </c>
      <c r="E30" s="33" t="s">
        <v>21</v>
      </c>
      <c r="F30" s="35"/>
      <c r="G30" s="103"/>
      <c r="H30" s="77"/>
      <c r="I30" s="177">
        <v>9450</v>
      </c>
      <c r="J30" s="220">
        <f>I30/'통장내역(환율표)'!$D$25</f>
        <v>1406.4811981760888</v>
      </c>
      <c r="K30" s="82">
        <f t="shared" si="2"/>
        <v>87751.545986968194</v>
      </c>
      <c r="L30" s="38">
        <f t="shared" si="3"/>
        <v>13060.461210944306</v>
      </c>
      <c r="M30" s="34" t="s">
        <v>211</v>
      </c>
      <c r="N30" s="45">
        <f t="shared" si="1"/>
        <v>13060.461210944302</v>
      </c>
    </row>
    <row r="31" spans="1:14" s="5" customFormat="1" ht="13.5" customHeight="1">
      <c r="A31" s="36">
        <v>44737</v>
      </c>
      <c r="B31" s="159" t="s">
        <v>208</v>
      </c>
      <c r="C31" s="160"/>
      <c r="D31" s="37">
        <v>4</v>
      </c>
      <c r="E31" s="33" t="s">
        <v>21</v>
      </c>
      <c r="F31" s="35"/>
      <c r="G31" s="103"/>
      <c r="H31" s="77"/>
      <c r="I31" s="177">
        <v>9800</v>
      </c>
      <c r="J31" s="220">
        <f>I31/'통장내역(환율표)'!$D$25</f>
        <v>1458.5730944048328</v>
      </c>
      <c r="K31" s="82">
        <f t="shared" si="2"/>
        <v>77951.545986968194</v>
      </c>
      <c r="L31" s="38">
        <f t="shared" si="3"/>
        <v>11601.888116539474</v>
      </c>
      <c r="M31" s="34" t="s">
        <v>211</v>
      </c>
      <c r="N31" s="45">
        <f t="shared" si="1"/>
        <v>11601.888116539471</v>
      </c>
    </row>
    <row r="32" spans="1:14" s="5" customFormat="1" ht="13.5" customHeight="1">
      <c r="A32" s="36">
        <v>44737</v>
      </c>
      <c r="B32" s="159" t="s">
        <v>194</v>
      </c>
      <c r="C32" s="160"/>
      <c r="D32" s="37">
        <v>4</v>
      </c>
      <c r="E32" s="33" t="s">
        <v>21</v>
      </c>
      <c r="F32" s="35"/>
      <c r="G32" s="103"/>
      <c r="H32" s="77"/>
      <c r="I32" s="177">
        <v>7.2</v>
      </c>
      <c r="J32" s="220">
        <f>I32/'통장내역(환율표)'!$D$25</f>
        <v>1.0716047224198773</v>
      </c>
      <c r="K32" s="82">
        <f t="shared" si="2"/>
        <v>77944.345986968197</v>
      </c>
      <c r="L32" s="38">
        <f t="shared" si="3"/>
        <v>11600.816511817055</v>
      </c>
      <c r="M32" s="34"/>
      <c r="N32" s="45">
        <f t="shared" si="1"/>
        <v>11600.816511817051</v>
      </c>
    </row>
    <row r="33" spans="1:14" s="5" customFormat="1" ht="13.5" customHeight="1">
      <c r="A33" s="36">
        <v>44737</v>
      </c>
      <c r="B33" s="159" t="s">
        <v>195</v>
      </c>
      <c r="C33" s="160"/>
      <c r="D33" s="37">
        <v>5</v>
      </c>
      <c r="E33" s="33" t="s">
        <v>216</v>
      </c>
      <c r="F33" s="35" t="s">
        <v>217</v>
      </c>
      <c r="G33" s="103"/>
      <c r="H33" s="77"/>
      <c r="I33" s="177">
        <v>19440</v>
      </c>
      <c r="J33" s="220">
        <f>I33/'통장내역(환율표)'!$D$25</f>
        <v>2893.3327505336683</v>
      </c>
      <c r="K33" s="82">
        <f t="shared" si="2"/>
        <v>58504.345986968197</v>
      </c>
      <c r="L33" s="38">
        <f t="shared" si="3"/>
        <v>8707.4837612833871</v>
      </c>
      <c r="M33" s="34"/>
      <c r="N33" s="45">
        <f t="shared" si="1"/>
        <v>8707.4837612833835</v>
      </c>
    </row>
    <row r="34" spans="1:14" s="5" customFormat="1" ht="13.5" customHeight="1">
      <c r="A34" s="36">
        <v>44737</v>
      </c>
      <c r="B34" s="159" t="s">
        <v>194</v>
      </c>
      <c r="C34" s="160"/>
      <c r="D34" s="37">
        <v>5</v>
      </c>
      <c r="E34" s="33" t="s">
        <v>21</v>
      </c>
      <c r="F34" s="35"/>
      <c r="G34" s="103"/>
      <c r="H34" s="77"/>
      <c r="I34" s="177">
        <v>7.2</v>
      </c>
      <c r="J34" s="220">
        <f>I34/'통장내역(환율표)'!$D$25</f>
        <v>1.0716047224198773</v>
      </c>
      <c r="K34" s="82">
        <f t="shared" si="2"/>
        <v>58497.1459869682</v>
      </c>
      <c r="L34" s="38">
        <f t="shared" si="3"/>
        <v>8706.4121565609676</v>
      </c>
      <c r="M34" s="34"/>
      <c r="N34" s="45">
        <f t="shared" si="1"/>
        <v>8706.4121565609639</v>
      </c>
    </row>
    <row r="35" spans="1:14" s="5" customFormat="1" ht="13.5" customHeight="1">
      <c r="A35" s="36">
        <v>44737</v>
      </c>
      <c r="B35" s="159" t="s">
        <v>196</v>
      </c>
      <c r="C35" s="160"/>
      <c r="D35" s="37">
        <v>6</v>
      </c>
      <c r="E35" s="33" t="s">
        <v>216</v>
      </c>
      <c r="F35" s="35" t="s">
        <v>217</v>
      </c>
      <c r="G35" s="103"/>
      <c r="H35" s="77"/>
      <c r="I35" s="177">
        <v>19440</v>
      </c>
      <c r="J35" s="220">
        <f>I35/'통장내역(환율표)'!$D$25</f>
        <v>2893.3327505336683</v>
      </c>
      <c r="K35" s="82">
        <f t="shared" si="2"/>
        <v>39057.1459869682</v>
      </c>
      <c r="L35" s="38">
        <f t="shared" si="3"/>
        <v>5813.0794060272992</v>
      </c>
      <c r="M35" s="34"/>
      <c r="N35" s="45">
        <f t="shared" si="1"/>
        <v>5813.0794060272956</v>
      </c>
    </row>
    <row r="36" spans="1:14" s="5" customFormat="1" ht="13.5" customHeight="1">
      <c r="A36" s="36">
        <v>44737</v>
      </c>
      <c r="B36" s="159" t="s">
        <v>194</v>
      </c>
      <c r="C36" s="160"/>
      <c r="D36" s="37">
        <v>6</v>
      </c>
      <c r="E36" s="33" t="s">
        <v>21</v>
      </c>
      <c r="F36" s="35"/>
      <c r="G36" s="103"/>
      <c r="H36" s="77"/>
      <c r="I36" s="177">
        <v>7.2</v>
      </c>
      <c r="J36" s="220">
        <f>I36/'통장내역(환율표)'!$D$25</f>
        <v>1.0716047224198773</v>
      </c>
      <c r="K36" s="82">
        <f t="shared" si="2"/>
        <v>39049.945986968203</v>
      </c>
      <c r="L36" s="38">
        <f t="shared" si="3"/>
        <v>5812.0078013048796</v>
      </c>
      <c r="M36" s="34"/>
      <c r="N36" s="45">
        <f t="shared" si="1"/>
        <v>5812.007801304876</v>
      </c>
    </row>
    <row r="37" spans="1:14" s="5" customFormat="1" ht="13.5" customHeight="1">
      <c r="A37" s="36">
        <v>44737</v>
      </c>
      <c r="B37" s="159" t="s">
        <v>197</v>
      </c>
      <c r="C37" s="160"/>
      <c r="D37" s="37">
        <v>7</v>
      </c>
      <c r="E37" s="33" t="s">
        <v>21</v>
      </c>
      <c r="F37" s="35"/>
      <c r="G37" s="103"/>
      <c r="H37" s="77"/>
      <c r="I37" s="177">
        <v>422.63</v>
      </c>
      <c r="J37" s="220">
        <f>I37/'통장내역(환율표)'!$D$25</f>
        <v>62.901708866154536</v>
      </c>
      <c r="K37" s="82">
        <f t="shared" si="2"/>
        <v>38627.315986968206</v>
      </c>
      <c r="L37" s="38">
        <f t="shared" si="3"/>
        <v>5749.1060924387248</v>
      </c>
      <c r="M37" s="34"/>
      <c r="N37" s="45">
        <f t="shared" si="1"/>
        <v>5749.1060924387211</v>
      </c>
    </row>
    <row r="38" spans="1:14" s="5" customFormat="1" ht="13.5" customHeight="1">
      <c r="A38" s="36">
        <v>44737</v>
      </c>
      <c r="B38" s="159" t="s">
        <v>194</v>
      </c>
      <c r="C38" s="160"/>
      <c r="D38" s="37">
        <v>7</v>
      </c>
      <c r="E38" s="33" t="s">
        <v>21</v>
      </c>
      <c r="F38" s="35"/>
      <c r="G38" s="103"/>
      <c r="H38" s="77"/>
      <c r="I38" s="177">
        <v>3.6</v>
      </c>
      <c r="J38" s="220">
        <f>I38/'통장내역(환율표)'!$D$25</f>
        <v>0.53580236120993863</v>
      </c>
      <c r="K38" s="82">
        <f t="shared" si="2"/>
        <v>38623.715986968207</v>
      </c>
      <c r="L38" s="38">
        <f t="shared" si="3"/>
        <v>5748.570290077515</v>
      </c>
      <c r="M38" s="34"/>
      <c r="N38" s="45">
        <f t="shared" si="1"/>
        <v>5748.5702900775113</v>
      </c>
    </row>
    <row r="39" spans="1:14" s="5" customFormat="1" ht="13.5" customHeight="1">
      <c r="A39" s="36">
        <v>44737</v>
      </c>
      <c r="B39" s="159" t="s">
        <v>218</v>
      </c>
      <c r="C39" s="160"/>
      <c r="D39" s="37">
        <v>8</v>
      </c>
      <c r="E39" s="33" t="s">
        <v>21</v>
      </c>
      <c r="F39" s="35"/>
      <c r="G39" s="103"/>
      <c r="H39" s="77"/>
      <c r="I39" s="177">
        <v>2000</v>
      </c>
      <c r="J39" s="220">
        <f>I39/'통장내역(환율표)'!$D$25</f>
        <v>297.66797844996586</v>
      </c>
      <c r="K39" s="82">
        <f t="shared" ref="K39:K62" si="4">K38+G39-I39</f>
        <v>36623.715986968207</v>
      </c>
      <c r="L39" s="38">
        <f t="shared" ref="L39:L62" si="5">L38+H39-J39</f>
        <v>5450.9023116275494</v>
      </c>
      <c r="M39" s="34"/>
      <c r="N39" s="45">
        <f t="shared" si="1"/>
        <v>5450.9023116275457</v>
      </c>
    </row>
    <row r="40" spans="1:14" s="5" customFormat="1" ht="13.5" customHeight="1">
      <c r="A40" s="36">
        <v>44737</v>
      </c>
      <c r="B40" s="159" t="s">
        <v>219</v>
      </c>
      <c r="C40" s="160"/>
      <c r="D40" s="37">
        <v>8</v>
      </c>
      <c r="E40" s="33" t="s">
        <v>21</v>
      </c>
      <c r="F40" s="35"/>
      <c r="G40" s="103"/>
      <c r="H40" s="77"/>
      <c r="I40" s="177">
        <v>300</v>
      </c>
      <c r="J40" s="220">
        <f>I40/'통장내역(환율표)'!$D$25</f>
        <v>44.650196767494883</v>
      </c>
      <c r="K40" s="82">
        <f t="shared" si="4"/>
        <v>36323.715986968207</v>
      </c>
      <c r="L40" s="38">
        <f t="shared" si="5"/>
        <v>5406.2521148600545</v>
      </c>
      <c r="M40" s="34"/>
      <c r="N40" s="45">
        <f t="shared" si="1"/>
        <v>5406.2521148600508</v>
      </c>
    </row>
    <row r="41" spans="1:14" s="5" customFormat="1" ht="13.5" customHeight="1">
      <c r="A41" s="36">
        <v>44737</v>
      </c>
      <c r="B41" s="159" t="s">
        <v>220</v>
      </c>
      <c r="C41" s="160"/>
      <c r="D41" s="37">
        <v>8</v>
      </c>
      <c r="E41" s="33" t="s">
        <v>21</v>
      </c>
      <c r="F41" s="35"/>
      <c r="G41" s="103"/>
      <c r="H41" s="77"/>
      <c r="I41" s="177">
        <v>4000</v>
      </c>
      <c r="J41" s="220">
        <f>I41/'통장내역(환율표)'!$D$25</f>
        <v>595.33595689993172</v>
      </c>
      <c r="K41" s="82">
        <f t="shared" si="4"/>
        <v>32323.715986968207</v>
      </c>
      <c r="L41" s="38">
        <f t="shared" si="5"/>
        <v>4810.9161579601223</v>
      </c>
      <c r="M41" s="34"/>
      <c r="N41" s="45">
        <f t="shared" si="1"/>
        <v>4810.9161579601187</v>
      </c>
    </row>
    <row r="42" spans="1:14" s="5" customFormat="1" ht="13.5" customHeight="1">
      <c r="A42" s="36">
        <v>44737</v>
      </c>
      <c r="B42" s="159" t="s">
        <v>221</v>
      </c>
      <c r="C42" s="160"/>
      <c r="D42" s="37">
        <v>8</v>
      </c>
      <c r="E42" s="33" t="s">
        <v>21</v>
      </c>
      <c r="F42" s="35"/>
      <c r="G42" s="103"/>
      <c r="H42" s="77"/>
      <c r="I42" s="177">
        <v>1000</v>
      </c>
      <c r="J42" s="220">
        <f>I42/'통장내역(환율표)'!$D$25</f>
        <v>148.83398922498293</v>
      </c>
      <c r="K42" s="82">
        <f t="shared" si="4"/>
        <v>31323.715986968207</v>
      </c>
      <c r="L42" s="38">
        <f t="shared" si="5"/>
        <v>4662.082168735139</v>
      </c>
      <c r="M42" s="34"/>
      <c r="N42" s="45">
        <f t="shared" si="1"/>
        <v>4662.0821687351354</v>
      </c>
    </row>
    <row r="43" spans="1:14" s="5" customFormat="1" ht="13.5" customHeight="1">
      <c r="A43" s="36">
        <v>44737</v>
      </c>
      <c r="B43" s="159" t="s">
        <v>222</v>
      </c>
      <c r="C43" s="160"/>
      <c r="D43" s="37">
        <v>8</v>
      </c>
      <c r="E43" s="33" t="s">
        <v>21</v>
      </c>
      <c r="F43" s="35"/>
      <c r="G43" s="103"/>
      <c r="H43" s="77"/>
      <c r="I43" s="177">
        <v>80</v>
      </c>
      <c r="J43" s="220">
        <f>I43/'통장내역(환율표)'!$D$25</f>
        <v>11.906719137998635</v>
      </c>
      <c r="K43" s="82">
        <f t="shared" si="4"/>
        <v>31243.715986968207</v>
      </c>
      <c r="L43" s="38">
        <f t="shared" si="5"/>
        <v>4650.17544959714</v>
      </c>
      <c r="M43" s="34"/>
      <c r="N43" s="45">
        <f t="shared" si="1"/>
        <v>4650.1754495971363</v>
      </c>
    </row>
    <row r="44" spans="1:14" s="5" customFormat="1" ht="13.5" customHeight="1">
      <c r="A44" s="36">
        <v>44737</v>
      </c>
      <c r="B44" s="159" t="s">
        <v>194</v>
      </c>
      <c r="C44" s="160"/>
      <c r="D44" s="37">
        <v>8</v>
      </c>
      <c r="E44" s="33" t="s">
        <v>21</v>
      </c>
      <c r="F44" s="35"/>
      <c r="G44" s="103"/>
      <c r="H44" s="77"/>
      <c r="I44" s="177">
        <v>3.6</v>
      </c>
      <c r="J44" s="220">
        <f>I44/'통장내역(환율표)'!$D$25</f>
        <v>0.53580236120993863</v>
      </c>
      <c r="K44" s="82">
        <f t="shared" si="4"/>
        <v>31240.115986968209</v>
      </c>
      <c r="L44" s="38">
        <f t="shared" si="5"/>
        <v>4649.6396472359302</v>
      </c>
      <c r="M44" s="34"/>
      <c r="N44" s="45">
        <f t="shared" si="1"/>
        <v>4649.6396472359265</v>
      </c>
    </row>
    <row r="45" spans="1:14" s="5" customFormat="1" ht="13.5" customHeight="1">
      <c r="A45" s="36">
        <v>44737</v>
      </c>
      <c r="B45" s="159" t="s">
        <v>198</v>
      </c>
      <c r="C45" s="160"/>
      <c r="D45" s="37">
        <v>9</v>
      </c>
      <c r="E45" s="33" t="s">
        <v>21</v>
      </c>
      <c r="F45" s="35"/>
      <c r="G45" s="103"/>
      <c r="H45" s="77"/>
      <c r="I45" s="177">
        <v>4741.1000000000004</v>
      </c>
      <c r="J45" s="220">
        <f>I45/'통장내역(환율표)'!$D$25</f>
        <v>705.63682631456663</v>
      </c>
      <c r="K45" s="82">
        <f t="shared" si="4"/>
        <v>26499.01598696821</v>
      </c>
      <c r="L45" s="38">
        <f t="shared" si="5"/>
        <v>3944.0028209213633</v>
      </c>
      <c r="M45" s="34"/>
      <c r="N45" s="45">
        <f t="shared" si="1"/>
        <v>3944.0028209213597</v>
      </c>
    </row>
    <row r="46" spans="1:14" s="5" customFormat="1" ht="13.5" customHeight="1">
      <c r="A46" s="36">
        <v>44737</v>
      </c>
      <c r="B46" s="159" t="s">
        <v>194</v>
      </c>
      <c r="C46" s="160"/>
      <c r="D46" s="37">
        <v>9</v>
      </c>
      <c r="E46" s="33" t="s">
        <v>21</v>
      </c>
      <c r="F46" s="35"/>
      <c r="G46" s="103"/>
      <c r="H46" s="77"/>
      <c r="I46" s="177">
        <v>3.6</v>
      </c>
      <c r="J46" s="220">
        <f>I46/'통장내역(환율표)'!$D$25</f>
        <v>0.53580236120993863</v>
      </c>
      <c r="K46" s="82">
        <f t="shared" si="4"/>
        <v>26495.415986968212</v>
      </c>
      <c r="L46" s="38">
        <f t="shared" si="5"/>
        <v>3943.4670185601535</v>
      </c>
      <c r="M46" s="34"/>
      <c r="N46" s="45">
        <f t="shared" si="1"/>
        <v>3943.4670185601499</v>
      </c>
    </row>
    <row r="47" spans="1:14" s="5" customFormat="1" ht="13.5" customHeight="1">
      <c r="A47" s="40">
        <v>44739</v>
      </c>
      <c r="B47" s="221" t="s">
        <v>199</v>
      </c>
      <c r="C47" s="222"/>
      <c r="D47" s="42" t="s">
        <v>183</v>
      </c>
      <c r="E47" s="41"/>
      <c r="F47" s="43"/>
      <c r="G47" s="53"/>
      <c r="H47" s="76"/>
      <c r="I47" s="87"/>
      <c r="J47" s="86">
        <f>I47/'통장내역(환율표)'!$D$25</f>
        <v>0</v>
      </c>
      <c r="K47" s="81">
        <f t="shared" si="4"/>
        <v>26495.415986968212</v>
      </c>
      <c r="L47" s="44">
        <f t="shared" si="5"/>
        <v>3943.4670185601535</v>
      </c>
      <c r="M47" s="51" t="s">
        <v>228</v>
      </c>
      <c r="N47" s="45"/>
    </row>
    <row r="48" spans="1:14" s="5" customFormat="1" ht="13.5" customHeight="1">
      <c r="A48" s="36">
        <v>44739</v>
      </c>
      <c r="B48" s="159" t="s">
        <v>194</v>
      </c>
      <c r="C48" s="160"/>
      <c r="D48" s="37" t="s">
        <v>183</v>
      </c>
      <c r="E48" s="33" t="s">
        <v>21</v>
      </c>
      <c r="F48" s="35"/>
      <c r="G48" s="103"/>
      <c r="H48" s="77"/>
      <c r="I48" s="177">
        <v>7.2</v>
      </c>
      <c r="J48" s="220">
        <f>I48/'통장내역(환율표)'!$D$25</f>
        <v>1.0716047224198773</v>
      </c>
      <c r="K48" s="82">
        <f t="shared" si="4"/>
        <v>26488.215986968211</v>
      </c>
      <c r="L48" s="38">
        <f t="shared" si="5"/>
        <v>3942.3954138377335</v>
      </c>
      <c r="M48" s="34"/>
      <c r="N48" s="45">
        <f>N46-J48+H48</f>
        <v>3942.3954138377298</v>
      </c>
    </row>
    <row r="49" spans="1:14" s="5" customFormat="1" ht="13.5" customHeight="1">
      <c r="A49" s="36">
        <v>44739</v>
      </c>
      <c r="B49" s="159" t="s">
        <v>200</v>
      </c>
      <c r="C49" s="160"/>
      <c r="D49" s="37">
        <v>10</v>
      </c>
      <c r="E49" s="33" t="s">
        <v>223</v>
      </c>
      <c r="F49" s="35" t="s">
        <v>224</v>
      </c>
      <c r="G49" s="103"/>
      <c r="H49" s="77"/>
      <c r="I49" s="177">
        <v>7533</v>
      </c>
      <c r="J49" s="220">
        <f>I49/'통장내역(환율표)'!$D$25</f>
        <v>1121.1664408317965</v>
      </c>
      <c r="K49" s="82">
        <f t="shared" si="4"/>
        <v>18955.215986968211</v>
      </c>
      <c r="L49" s="38">
        <f t="shared" si="5"/>
        <v>2821.228973005937</v>
      </c>
      <c r="M49" s="34"/>
      <c r="N49" s="45">
        <f t="shared" si="1"/>
        <v>2821.2289730059333</v>
      </c>
    </row>
    <row r="50" spans="1:14" s="5" customFormat="1" ht="13.5" customHeight="1">
      <c r="A50" s="36">
        <v>44739</v>
      </c>
      <c r="B50" s="159" t="s">
        <v>194</v>
      </c>
      <c r="C50" s="160"/>
      <c r="D50" s="37">
        <v>10</v>
      </c>
      <c r="E50" s="33" t="s">
        <v>21</v>
      </c>
      <c r="F50" s="35"/>
      <c r="G50" s="103"/>
      <c r="H50" s="77"/>
      <c r="I50" s="177">
        <v>3.6</v>
      </c>
      <c r="J50" s="220">
        <f>I50/'통장내역(환율표)'!$D$25</f>
        <v>0.53580236120993863</v>
      </c>
      <c r="K50" s="82">
        <f t="shared" si="4"/>
        <v>18951.615986968212</v>
      </c>
      <c r="L50" s="38">
        <f t="shared" si="5"/>
        <v>2820.6931706447272</v>
      </c>
      <c r="M50" s="34"/>
      <c r="N50" s="45">
        <f t="shared" si="1"/>
        <v>2820.6931706447235</v>
      </c>
    </row>
    <row r="51" spans="1:14" s="5" customFormat="1" ht="13.5" customHeight="1">
      <c r="A51" s="36">
        <v>44739</v>
      </c>
      <c r="B51" s="159" t="s">
        <v>184</v>
      </c>
      <c r="C51" s="160"/>
      <c r="D51" s="37">
        <v>11</v>
      </c>
      <c r="E51" s="33" t="s">
        <v>21</v>
      </c>
      <c r="F51" s="35"/>
      <c r="G51" s="103"/>
      <c r="H51" s="77"/>
      <c r="I51" s="177">
        <v>114</v>
      </c>
      <c r="J51" s="220">
        <f>I51/'통장내역(환율표)'!$D$25</f>
        <v>16.967074771648054</v>
      </c>
      <c r="K51" s="82">
        <f t="shared" si="4"/>
        <v>18837.615986968212</v>
      </c>
      <c r="L51" s="38">
        <f t="shared" si="5"/>
        <v>2803.726095873079</v>
      </c>
      <c r="M51" s="34" t="s">
        <v>185</v>
      </c>
      <c r="N51" s="45">
        <f t="shared" si="1"/>
        <v>2803.7260958730753</v>
      </c>
    </row>
    <row r="52" spans="1:14" s="5" customFormat="1" ht="13.5" customHeight="1">
      <c r="A52" s="36">
        <v>44739</v>
      </c>
      <c r="B52" s="159" t="s">
        <v>184</v>
      </c>
      <c r="C52" s="160"/>
      <c r="D52" s="37">
        <v>11</v>
      </c>
      <c r="E52" s="33" t="s">
        <v>21</v>
      </c>
      <c r="F52" s="35"/>
      <c r="G52" s="103"/>
      <c r="H52" s="77"/>
      <c r="I52" s="177">
        <v>400</v>
      </c>
      <c r="J52" s="220">
        <f>I52/'통장내역(환율표)'!$D$25</f>
        <v>59.533595689993177</v>
      </c>
      <c r="K52" s="82">
        <f t="shared" si="4"/>
        <v>18437.615986968212</v>
      </c>
      <c r="L52" s="38">
        <f t="shared" si="5"/>
        <v>2744.1925001830859</v>
      </c>
      <c r="M52" s="34" t="s">
        <v>186</v>
      </c>
      <c r="N52" s="45">
        <f t="shared" si="1"/>
        <v>2744.1925001830823</v>
      </c>
    </row>
    <row r="53" spans="1:14" s="5" customFormat="1" ht="13.5" customHeight="1">
      <c r="A53" s="36">
        <v>44739</v>
      </c>
      <c r="B53" s="159" t="s">
        <v>184</v>
      </c>
      <c r="C53" s="160"/>
      <c r="D53" s="37">
        <v>11</v>
      </c>
      <c r="E53" s="33" t="s">
        <v>21</v>
      </c>
      <c r="F53" s="35"/>
      <c r="G53" s="103"/>
      <c r="H53" s="77"/>
      <c r="I53" s="177">
        <v>300</v>
      </c>
      <c r="J53" s="220">
        <f>I53/'통장내역(환율표)'!$D$25</f>
        <v>44.650196767494883</v>
      </c>
      <c r="K53" s="82">
        <f t="shared" si="4"/>
        <v>18137.615986968212</v>
      </c>
      <c r="L53" s="38">
        <f t="shared" si="5"/>
        <v>2699.542303415591</v>
      </c>
      <c r="M53" s="34" t="s">
        <v>187</v>
      </c>
      <c r="N53" s="45">
        <f t="shared" si="1"/>
        <v>2699.5423034155874</v>
      </c>
    </row>
    <row r="54" spans="1:14" s="5" customFormat="1" ht="13.5" customHeight="1">
      <c r="A54" s="36">
        <v>44739</v>
      </c>
      <c r="B54" s="159" t="s">
        <v>194</v>
      </c>
      <c r="C54" s="160"/>
      <c r="D54" s="37">
        <v>11</v>
      </c>
      <c r="E54" s="33" t="s">
        <v>21</v>
      </c>
      <c r="F54" s="35"/>
      <c r="G54" s="103"/>
      <c r="H54" s="77"/>
      <c r="I54" s="177">
        <v>3.6</v>
      </c>
      <c r="J54" s="220">
        <f>I54/'통장내역(환율표)'!$D$25</f>
        <v>0.53580236120993863</v>
      </c>
      <c r="K54" s="82">
        <f t="shared" si="4"/>
        <v>18134.015986968214</v>
      </c>
      <c r="L54" s="38">
        <f t="shared" si="5"/>
        <v>2699.0065010543813</v>
      </c>
      <c r="M54" s="34"/>
      <c r="N54" s="45">
        <f t="shared" si="1"/>
        <v>2699.0065010543776</v>
      </c>
    </row>
    <row r="55" spans="1:14" s="5" customFormat="1" ht="13.5" customHeight="1">
      <c r="A55" s="36">
        <v>44739</v>
      </c>
      <c r="B55" s="159" t="s">
        <v>201</v>
      </c>
      <c r="C55" s="160"/>
      <c r="D55" s="37">
        <v>12</v>
      </c>
      <c r="E55" s="33" t="s">
        <v>225</v>
      </c>
      <c r="F55" s="35"/>
      <c r="G55" s="103"/>
      <c r="H55" s="77"/>
      <c r="I55" s="177">
        <v>500</v>
      </c>
      <c r="J55" s="220">
        <f>I55/'통장내역(환율표)'!$D$25</f>
        <v>74.416994612491465</v>
      </c>
      <c r="K55" s="82">
        <f t="shared" si="4"/>
        <v>17634.015986968214</v>
      </c>
      <c r="L55" s="38">
        <f t="shared" si="5"/>
        <v>2624.5895064418896</v>
      </c>
      <c r="M55" s="34" t="s">
        <v>188</v>
      </c>
      <c r="N55" s="45">
        <f t="shared" si="1"/>
        <v>2624.589506441886</v>
      </c>
    </row>
    <row r="56" spans="1:14" s="5" customFormat="1" ht="13.5" customHeight="1">
      <c r="A56" s="36">
        <v>44739</v>
      </c>
      <c r="B56" s="159" t="s">
        <v>201</v>
      </c>
      <c r="C56" s="160"/>
      <c r="D56" s="37">
        <v>12</v>
      </c>
      <c r="E56" s="33" t="s">
        <v>225</v>
      </c>
      <c r="F56" s="35"/>
      <c r="G56" s="103"/>
      <c r="H56" s="77"/>
      <c r="I56" s="177">
        <v>399</v>
      </c>
      <c r="J56" s="220">
        <f>I56/'통장내역(환율표)'!$D$25</f>
        <v>59.384761700768195</v>
      </c>
      <c r="K56" s="82">
        <f t="shared" si="4"/>
        <v>17235.015986968214</v>
      </c>
      <c r="L56" s="38">
        <f t="shared" si="5"/>
        <v>2565.2047447411214</v>
      </c>
      <c r="M56" s="34" t="s">
        <v>189</v>
      </c>
      <c r="N56" s="45">
        <f t="shared" si="1"/>
        <v>2565.2047447411178</v>
      </c>
    </row>
    <row r="57" spans="1:14" s="5" customFormat="1" ht="13.5" customHeight="1">
      <c r="A57" s="36">
        <v>44739</v>
      </c>
      <c r="B57" s="159" t="s">
        <v>194</v>
      </c>
      <c r="C57" s="160"/>
      <c r="D57" s="37">
        <v>12</v>
      </c>
      <c r="E57" s="33" t="s">
        <v>21</v>
      </c>
      <c r="F57" s="35"/>
      <c r="G57" s="103"/>
      <c r="H57" s="77"/>
      <c r="I57" s="177">
        <v>3.6</v>
      </c>
      <c r="J57" s="220">
        <f>I57/'통장내역(환율표)'!$D$25</f>
        <v>0.53580236120993863</v>
      </c>
      <c r="K57" s="82">
        <f t="shared" si="4"/>
        <v>17231.415986968215</v>
      </c>
      <c r="L57" s="38">
        <f t="shared" si="5"/>
        <v>2564.6689423799116</v>
      </c>
      <c r="M57" s="34"/>
      <c r="N57" s="45">
        <f t="shared" si="1"/>
        <v>2564.668942379908</v>
      </c>
    </row>
    <row r="58" spans="1:14" s="5" customFormat="1" ht="13.5" customHeight="1">
      <c r="A58" s="40">
        <v>44739</v>
      </c>
      <c r="B58" s="221" t="s">
        <v>202</v>
      </c>
      <c r="C58" s="222"/>
      <c r="D58" s="42" t="s">
        <v>183</v>
      </c>
      <c r="E58" s="41" t="s">
        <v>216</v>
      </c>
      <c r="F58" s="43" t="s">
        <v>227</v>
      </c>
      <c r="G58" s="53"/>
      <c r="H58" s="76">
        <f>G58/'통장내역(환율표)'!$D$25</f>
        <v>0</v>
      </c>
      <c r="I58" s="87"/>
      <c r="J58" s="86">
        <f>I58/'통장내역(환율표)'!$D$25</f>
        <v>0</v>
      </c>
      <c r="K58" s="81">
        <f t="shared" si="4"/>
        <v>17231.415986968215</v>
      </c>
      <c r="L58" s="44">
        <f t="shared" si="5"/>
        <v>2564.6689423799116</v>
      </c>
      <c r="M58" s="51" t="s">
        <v>190</v>
      </c>
      <c r="N58" s="45"/>
    </row>
    <row r="59" spans="1:14" s="5" customFormat="1" ht="13.5" customHeight="1">
      <c r="A59" s="36">
        <v>44739</v>
      </c>
      <c r="B59" s="159" t="s">
        <v>203</v>
      </c>
      <c r="C59" s="160"/>
      <c r="D59" s="37">
        <v>13</v>
      </c>
      <c r="E59" s="33" t="s">
        <v>15</v>
      </c>
      <c r="F59" s="35" t="s">
        <v>226</v>
      </c>
      <c r="G59" s="103"/>
      <c r="H59" s="77"/>
      <c r="I59" s="177">
        <v>16000</v>
      </c>
      <c r="J59" s="220">
        <f>I59/'통장내역(환율표)'!$D$25</f>
        <v>2381.3438275997269</v>
      </c>
      <c r="K59" s="82">
        <f t="shared" si="4"/>
        <v>1231.4159869682153</v>
      </c>
      <c r="L59" s="38">
        <f t="shared" si="5"/>
        <v>183.32511478018478</v>
      </c>
      <c r="M59" s="34"/>
      <c r="N59" s="45">
        <f>N57-J59+H59</f>
        <v>183.32511478018114</v>
      </c>
    </row>
    <row r="60" spans="1:14" s="5" customFormat="1" ht="13.5" customHeight="1">
      <c r="A60" s="36">
        <v>44739</v>
      </c>
      <c r="B60" s="159" t="s">
        <v>194</v>
      </c>
      <c r="C60" s="160"/>
      <c r="D60" s="37">
        <v>13</v>
      </c>
      <c r="E60" s="33" t="s">
        <v>21</v>
      </c>
      <c r="F60" s="35"/>
      <c r="G60" s="103"/>
      <c r="H60" s="77"/>
      <c r="I60" s="177">
        <v>7.2</v>
      </c>
      <c r="J60" s="220">
        <f>I60/'통장내역(환율표)'!$D$25</f>
        <v>1.0716047224198773</v>
      </c>
      <c r="K60" s="82">
        <f t="shared" si="4"/>
        <v>1224.2159869682152</v>
      </c>
      <c r="L60" s="38">
        <f t="shared" si="5"/>
        <v>182.25351005776491</v>
      </c>
      <c r="M60" s="34"/>
      <c r="N60" s="45">
        <f t="shared" si="1"/>
        <v>182.25351005776128</v>
      </c>
    </row>
    <row r="61" spans="1:14" s="5" customFormat="1" ht="13.5" customHeight="1">
      <c r="A61" s="36">
        <v>44740</v>
      </c>
      <c r="B61" s="159" t="s">
        <v>204</v>
      </c>
      <c r="C61" s="160"/>
      <c r="D61" s="37">
        <v>14</v>
      </c>
      <c r="E61" s="33" t="s">
        <v>15</v>
      </c>
      <c r="F61" s="35" t="s">
        <v>226</v>
      </c>
      <c r="G61" s="103"/>
      <c r="H61" s="77"/>
      <c r="I61" s="177">
        <v>500</v>
      </c>
      <c r="J61" s="220">
        <f>I61/'통장내역(환율표)'!$D$25</f>
        <v>74.416994612491465</v>
      </c>
      <c r="K61" s="82">
        <f t="shared" si="4"/>
        <v>724.21598696821525</v>
      </c>
      <c r="L61" s="38">
        <f t="shared" si="5"/>
        <v>107.83651544527345</v>
      </c>
      <c r="M61" s="34" t="s">
        <v>191</v>
      </c>
      <c r="N61" s="45">
        <f t="shared" si="1"/>
        <v>107.83651544526981</v>
      </c>
    </row>
    <row r="62" spans="1:14" s="5" customFormat="1" ht="13.5" customHeight="1">
      <c r="A62" s="36">
        <v>44740</v>
      </c>
      <c r="B62" s="159" t="s">
        <v>194</v>
      </c>
      <c r="C62" s="160"/>
      <c r="D62" s="37">
        <v>14</v>
      </c>
      <c r="E62" s="33" t="s">
        <v>21</v>
      </c>
      <c r="F62" s="35"/>
      <c r="G62" s="103"/>
      <c r="H62" s="77"/>
      <c r="I62" s="177">
        <v>3.6</v>
      </c>
      <c r="J62" s="220">
        <f>I62/'통장내역(환율표)'!$D$25</f>
        <v>0.53580236120993863</v>
      </c>
      <c r="K62" s="82">
        <f t="shared" si="4"/>
        <v>720.61598696821522</v>
      </c>
      <c r="L62" s="38">
        <f t="shared" si="5"/>
        <v>107.30071308406352</v>
      </c>
      <c r="M62" s="34"/>
      <c r="N62" s="45">
        <f t="shared" si="1"/>
        <v>107.30071308405988</v>
      </c>
    </row>
  </sheetData>
  <autoFilter ref="A16:N62" xr:uid="{00000000-0009-0000-0000-000004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5"/>
  <sheetViews>
    <sheetView showGridLines="0" topLeftCell="A10" zoomScaleNormal="100" workbookViewId="0">
      <selection activeCell="D14" sqref="D14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41.625" customWidth="1"/>
    <col min="14" max="14" width="9.625" bestFit="1" customWidth="1"/>
  </cols>
  <sheetData>
    <row r="1" spans="1:13" ht="24">
      <c r="A1" s="1" t="s">
        <v>303</v>
      </c>
      <c r="B1" s="2"/>
      <c r="C1" s="2"/>
      <c r="D1" s="3"/>
      <c r="F1" s="5"/>
      <c r="G1" s="6"/>
      <c r="H1" s="6"/>
      <c r="I1" s="6"/>
      <c r="J1" s="6"/>
      <c r="K1" s="319">
        <v>100066029</v>
      </c>
      <c r="L1" s="5"/>
      <c r="M1" s="5"/>
    </row>
    <row r="2" spans="1:13" s="5" customFormat="1" ht="17.2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319">
        <v>100041589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.5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.5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.5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.5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>
        <v>7653455</v>
      </c>
      <c r="L11" s="119"/>
    </row>
    <row r="12" spans="1:13" s="5" customFormat="1" ht="13.5">
      <c r="A12" s="1493" t="s">
        <v>299</v>
      </c>
      <c r="B12" s="1494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493" t="s">
        <v>299</v>
      </c>
      <c r="H12" s="1494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.5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.5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33468.389412943841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301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K49" si="1">K17+G18-I18</f>
        <v>240727.85598696821</v>
      </c>
      <c r="L18" s="62">
        <f t="shared" ref="L18:L49" si="2">L17+H18-J18</f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2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J20*'통장내역(환율표)'!$D$18</f>
        <v>719.1936972248933</v>
      </c>
      <c r="J20" s="220">
        <v>107.30071308405988</v>
      </c>
      <c r="K20" s="244">
        <f t="shared" si="1"/>
        <v>240008.66228974331</v>
      </c>
      <c r="L20" s="245">
        <f t="shared" si="2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10664.826302775107</v>
      </c>
      <c r="J21" s="194">
        <f>I21/'통장내역(환율표)'!$D$33</f>
        <v>1589.0365121411771</v>
      </c>
      <c r="K21" s="244">
        <f t="shared" si="1"/>
        <v>229343.83598696822</v>
      </c>
      <c r="L21" s="245">
        <f t="shared" si="2"/>
        <v>34171.533487858826</v>
      </c>
      <c r="M21" s="246"/>
      <c r="N21" s="45">
        <f>35760.57-J21</f>
        <v>34171.533487858826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2"/>
        <v>34126.834123789638</v>
      </c>
      <c r="M22" s="34" t="s">
        <v>247</v>
      </c>
      <c r="N22" s="45">
        <f t="shared" ref="N22:N53" si="3">N21-J22+H22</f>
        <v>34126.834123789638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2"/>
        <v>32978.443391763802</v>
      </c>
      <c r="M23" s="34" t="s">
        <v>247</v>
      </c>
      <c r="N23" s="45">
        <f t="shared" si="3"/>
        <v>32978.443391763802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2"/>
        <v>32266.480860742653</v>
      </c>
      <c r="M24" s="34" t="s">
        <v>247</v>
      </c>
      <c r="N24" s="45">
        <f t="shared" si="3"/>
        <v>32266.480860742653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2"/>
        <v>30255.009477629377</v>
      </c>
      <c r="M25" s="34" t="s">
        <v>247</v>
      </c>
      <c r="N25" s="45">
        <f t="shared" si="3"/>
        <v>30255.009477629377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2"/>
        <v>27275.051873017117</v>
      </c>
      <c r="M26" s="34" t="s">
        <v>247</v>
      </c>
      <c r="N26" s="45">
        <f t="shared" si="3"/>
        <v>27275.051873017117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2"/>
        <v>27230.352508947934</v>
      </c>
      <c r="M27" s="34" t="s">
        <v>286</v>
      </c>
      <c r="N27" s="45">
        <f t="shared" si="3"/>
        <v>27230.352508947934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2"/>
        <v>27135.844643496457</v>
      </c>
      <c r="M28" s="34" t="s">
        <v>286</v>
      </c>
      <c r="N28" s="45">
        <f t="shared" si="3"/>
        <v>27135.844643496457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2"/>
        <v>26490.321757248941</v>
      </c>
      <c r="M29" s="34" t="s">
        <v>286</v>
      </c>
      <c r="N29" s="45">
        <f t="shared" si="3"/>
        <v>26490.321757248941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2"/>
        <v>24478.850374135665</v>
      </c>
      <c r="M30" s="34" t="s">
        <v>286</v>
      </c>
      <c r="N30" s="45">
        <f t="shared" si="3"/>
        <v>24478.850374135665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2"/>
        <v>22392.880050907082</v>
      </c>
      <c r="M31" s="34" t="s">
        <v>286</v>
      </c>
      <c r="N31" s="45">
        <f t="shared" si="3"/>
        <v>22392.880050907082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251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2"/>
        <v>22348.180686837899</v>
      </c>
      <c r="M32" s="34" t="s">
        <v>287</v>
      </c>
      <c r="N32" s="45">
        <f t="shared" si="3"/>
        <v>22348.180686837899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251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2"/>
        <v>22273.431430283807</v>
      </c>
      <c r="M33" s="34" t="s">
        <v>287</v>
      </c>
      <c r="N33" s="45">
        <f t="shared" si="3"/>
        <v>22273.431430283807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251">
        <v>8544.44</v>
      </c>
      <c r="J34" s="194">
        <f>I34/'통장내역(환율표)'!$D$33</f>
        <v>1273.1034477576593</v>
      </c>
      <c r="K34" s="82">
        <f t="shared" si="1"/>
        <v>140945.22598696823</v>
      </c>
      <c r="L34" s="38">
        <f t="shared" si="2"/>
        <v>21000.327982526149</v>
      </c>
      <c r="M34" s="34" t="s">
        <v>287</v>
      </c>
      <c r="N34" s="45">
        <f t="shared" si="3"/>
        <v>21000.327982526149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251">
        <v>21220.91</v>
      </c>
      <c r="J35" s="194">
        <f>I35/'통장내역(환율표)'!$D$33</f>
        <v>3161.8706065646188</v>
      </c>
      <c r="K35" s="82">
        <f t="shared" si="1"/>
        <v>119724.31598696823</v>
      </c>
      <c r="L35" s="38">
        <f t="shared" si="2"/>
        <v>17838.45737596153</v>
      </c>
      <c r="M35" s="34" t="s">
        <v>287</v>
      </c>
      <c r="N35" s="45">
        <f t="shared" si="3"/>
        <v>17838.45737596153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1"/>
        <v>119712.31598696823</v>
      </c>
      <c r="L36" s="38">
        <f t="shared" si="2"/>
        <v>17836.669401398762</v>
      </c>
      <c r="M36" s="34"/>
      <c r="N36" s="45">
        <f t="shared" si="3"/>
        <v>17836.669401398762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1"/>
        <v>91712.315986968228</v>
      </c>
      <c r="L37" s="38">
        <f t="shared" si="2"/>
        <v>13664.728754941596</v>
      </c>
      <c r="M37" s="249" t="s">
        <v>290</v>
      </c>
      <c r="N37" s="45">
        <f t="shared" si="3"/>
        <v>13664.728754941596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1"/>
        <v>91705.115986968231</v>
      </c>
      <c r="L38" s="38">
        <f t="shared" si="2"/>
        <v>13663.655970203936</v>
      </c>
      <c r="M38" s="34"/>
      <c r="N38" s="45">
        <f t="shared" si="3"/>
        <v>13663.655970203936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1"/>
        <v>91156.765986968225</v>
      </c>
      <c r="L39" s="38">
        <f t="shared" si="2"/>
        <v>13581.95298257948</v>
      </c>
      <c r="M39" s="34" t="s">
        <v>235</v>
      </c>
      <c r="N39" s="45">
        <f t="shared" si="3"/>
        <v>13581.95298257948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1"/>
        <v>91153.165986968219</v>
      </c>
      <c r="L40" s="38">
        <f t="shared" si="2"/>
        <v>13581.416590210649</v>
      </c>
      <c r="M40" s="34"/>
      <c r="N40" s="45">
        <f t="shared" si="3"/>
        <v>13581.416590210649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1"/>
        <v>90436.065986968213</v>
      </c>
      <c r="L41" s="38">
        <f t="shared" si="2"/>
        <v>13474.570210297275</v>
      </c>
      <c r="M41" s="34"/>
      <c r="N41" s="45">
        <f t="shared" si="3"/>
        <v>13474.570210297275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1"/>
        <v>89636.065986968213</v>
      </c>
      <c r="L42" s="38">
        <f t="shared" si="2"/>
        <v>13355.371906112785</v>
      </c>
      <c r="M42" s="34"/>
      <c r="N42" s="45">
        <f t="shared" si="3"/>
        <v>13355.371906112785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1"/>
        <v>89632.465986968207</v>
      </c>
      <c r="L43" s="38">
        <f t="shared" si="2"/>
        <v>13354.835513743954</v>
      </c>
      <c r="M43" s="34"/>
      <c r="N43" s="45">
        <f t="shared" si="3"/>
        <v>13354.835513743954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1"/>
        <v>88702.465986968207</v>
      </c>
      <c r="L44" s="38">
        <f t="shared" si="2"/>
        <v>13216.267485129483</v>
      </c>
      <c r="M44" s="34"/>
      <c r="N44" s="45">
        <f t="shared" si="3"/>
        <v>13216.267485129483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1"/>
        <v>87171.275986968205</v>
      </c>
      <c r="L45" s="38">
        <f t="shared" si="2"/>
        <v>12988.12342089917</v>
      </c>
      <c r="M45" s="34"/>
      <c r="N45" s="45">
        <f t="shared" si="3"/>
        <v>12988.12342089917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1"/>
        <v>87152.275986968205</v>
      </c>
      <c r="L46" s="38">
        <f t="shared" si="2"/>
        <v>12985.292461174788</v>
      </c>
      <c r="M46" s="34"/>
      <c r="N46" s="45">
        <f t="shared" si="3"/>
        <v>12985.292461174788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1"/>
        <v>87148.675986968199</v>
      </c>
      <c r="L47" s="38">
        <f t="shared" si="2"/>
        <v>12984.756068805957</v>
      </c>
      <c r="M47" s="34"/>
      <c r="N47" s="45">
        <f t="shared" si="3"/>
        <v>12984.756068805957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1"/>
        <v>86507.185986968194</v>
      </c>
      <c r="L48" s="38">
        <f t="shared" si="2"/>
        <v>12889.17541861682</v>
      </c>
      <c r="M48" s="34" t="s">
        <v>236</v>
      </c>
      <c r="N48" s="45">
        <f t="shared" si="3"/>
        <v>12889.17541861682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1"/>
        <v>86503.585986968188</v>
      </c>
      <c r="L49" s="38">
        <f t="shared" si="2"/>
        <v>12888.639026247989</v>
      </c>
      <c r="M49" s="34"/>
      <c r="N49" s="45">
        <f t="shared" si="3"/>
        <v>12888.639026247989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K75" si="4">K49+G50-I50</f>
        <v>86088.505986968186</v>
      </c>
      <c r="L50" s="38">
        <f t="shared" ref="L50:L75" si="5">L49+H50-J50</f>
        <v>12826.792986121865</v>
      </c>
      <c r="M50" s="34" t="s">
        <v>237</v>
      </c>
      <c r="N50" s="45">
        <f t="shared" si="3"/>
        <v>12826.792986121865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5"/>
        <v>12826.256593753034</v>
      </c>
      <c r="M51" s="34"/>
      <c r="N51" s="45">
        <f t="shared" si="3"/>
        <v>12826.256593753034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5"/>
        <v>12778.577272079237</v>
      </c>
      <c r="M52" s="34"/>
      <c r="N52" s="45">
        <f t="shared" si="3"/>
        <v>12778.577272079237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5"/>
        <v>12759.058549769026</v>
      </c>
      <c r="M53" s="34"/>
      <c r="N53" s="45">
        <f t="shared" si="3"/>
        <v>12759.058549769026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5"/>
        <v>12714.359185699843</v>
      </c>
      <c r="M54" s="34"/>
      <c r="N54" s="45">
        <f t="shared" ref="N54:N75" si="6">N53-J54+H54</f>
        <v>12714.359185699843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5"/>
        <v>12692.009503665251</v>
      </c>
      <c r="M55" s="34"/>
      <c r="N55" s="45">
        <f t="shared" si="6"/>
        <v>12692.009503665251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5"/>
        <v>12691.47311129642</v>
      </c>
      <c r="M56" s="34"/>
      <c r="N56" s="45">
        <f t="shared" si="6"/>
        <v>12691.47311129642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5"/>
        <v>12616.974171181113</v>
      </c>
      <c r="M57" s="34"/>
      <c r="N57" s="45">
        <f t="shared" si="6"/>
        <v>12616.974171181113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5"/>
        <v>12557.524016969099</v>
      </c>
      <c r="M58" s="34"/>
      <c r="N58" s="45">
        <f t="shared" si="6"/>
        <v>12557.524016969099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5"/>
        <v>12556.987624600268</v>
      </c>
      <c r="M59" s="34"/>
      <c r="N59" s="45">
        <f t="shared" si="6"/>
        <v>12556.987624600268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5"/>
        <v>12410.517624600268</v>
      </c>
      <c r="M60" s="34" t="s">
        <v>238</v>
      </c>
      <c r="N60" s="45">
        <f t="shared" si="6"/>
        <v>12410.517624600268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5"/>
        <v>12409.981232231437</v>
      </c>
      <c r="M61" s="34"/>
      <c r="N61" s="45">
        <f t="shared" si="6"/>
        <v>12409.981232231437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5"/>
        <v>12222.181324031168</v>
      </c>
      <c r="M62" s="34" t="s">
        <v>239</v>
      </c>
      <c r="N62" s="45">
        <f t="shared" si="6"/>
        <v>12222.181324031168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5"/>
        <v>12221.644931662337</v>
      </c>
      <c r="M63" s="34"/>
      <c r="N63" s="45">
        <f t="shared" si="6"/>
        <v>12221.644931662337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5"/>
        <v>9325.1261399792202</v>
      </c>
      <c r="M64" s="34" t="s">
        <v>240</v>
      </c>
      <c r="N64" s="45">
        <f t="shared" si="6"/>
        <v>9325.1261399792202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5"/>
        <v>9324.05335524156</v>
      </c>
      <c r="M65" s="34"/>
      <c r="N65" s="45">
        <f t="shared" si="6"/>
        <v>9324.05335524156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si="4"/>
        <v>46079.885986968162</v>
      </c>
      <c r="L66" s="38">
        <f t="shared" si="5"/>
        <v>6865.5883314364446</v>
      </c>
      <c r="M66" s="34" t="s">
        <v>241</v>
      </c>
      <c r="N66" s="45">
        <f t="shared" si="6"/>
        <v>6865.5883314364446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4"/>
        <v>46072.685986968165</v>
      </c>
      <c r="L67" s="38">
        <f t="shared" si="5"/>
        <v>6864.5155466987844</v>
      </c>
      <c r="M67" s="34"/>
      <c r="N67" s="45">
        <f t="shared" si="6"/>
        <v>6864.5155466987844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4"/>
        <v>45072.685986968165</v>
      </c>
      <c r="L68" s="38">
        <f t="shared" si="5"/>
        <v>6715.5176664681712</v>
      </c>
      <c r="M68" s="34" t="s">
        <v>242</v>
      </c>
      <c r="N68" s="45">
        <f t="shared" si="6"/>
        <v>6715.5176664681712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4"/>
        <v>45069.085986968166</v>
      </c>
      <c r="L69" s="38">
        <f t="shared" si="5"/>
        <v>6714.9812740993411</v>
      </c>
      <c r="M69" s="34"/>
      <c r="N69" s="45">
        <f t="shared" si="6"/>
        <v>6714.9812740993411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4"/>
        <v>44169.085986968166</v>
      </c>
      <c r="L70" s="38">
        <f t="shared" si="5"/>
        <v>6580.8831818917897</v>
      </c>
      <c r="M70" s="34" t="s">
        <v>243</v>
      </c>
      <c r="N70" s="45">
        <f t="shared" si="6"/>
        <v>6580.8831818917897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4"/>
        <v>44165.485986968168</v>
      </c>
      <c r="L71" s="38">
        <f t="shared" si="5"/>
        <v>6580.3467895229596</v>
      </c>
      <c r="M71" s="34"/>
      <c r="N71" s="45">
        <f t="shared" si="6"/>
        <v>6580.3467895229596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4"/>
        <v>40440.795986968165</v>
      </c>
      <c r="L72" s="38">
        <f t="shared" si="5"/>
        <v>6025.3758750067973</v>
      </c>
      <c r="M72" s="34" t="s">
        <v>244</v>
      </c>
      <c r="N72" s="45">
        <f t="shared" si="6"/>
        <v>6025.3758750067973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4"/>
        <v>40437.195986968167</v>
      </c>
      <c r="L73" s="38">
        <f t="shared" si="5"/>
        <v>6024.8394826379672</v>
      </c>
      <c r="M73" s="34"/>
      <c r="N73" s="45">
        <f t="shared" si="6"/>
        <v>6024.8394826379672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4"/>
        <v>16287.285986968167</v>
      </c>
      <c r="L74" s="38">
        <f t="shared" si="5"/>
        <v>2426.5540848778828</v>
      </c>
      <c r="M74" s="34" t="s">
        <v>245</v>
      </c>
      <c r="N74" s="45">
        <f t="shared" si="6"/>
        <v>2426.5540848778828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4"/>
        <v>16280.085986968166</v>
      </c>
      <c r="L75" s="38">
        <f t="shared" si="5"/>
        <v>2425.4813001402222</v>
      </c>
      <c r="M75" s="34"/>
      <c r="N75" s="45">
        <f t="shared" si="6"/>
        <v>2425.4813001402222</v>
      </c>
    </row>
  </sheetData>
  <autoFilter ref="A16:N75" xr:uid="{00000000-0009-0000-0000-000005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75"/>
  <sheetViews>
    <sheetView showGridLines="0" topLeftCell="A34" zoomScaleNormal="100" workbookViewId="0">
      <selection activeCell="B57" sqref="B57:K58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41.625" customWidth="1"/>
    <col min="14" max="14" width="9.625" bestFit="1" customWidth="1"/>
  </cols>
  <sheetData>
    <row r="1" spans="1:13" ht="24">
      <c r="A1" s="1" t="s">
        <v>303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4">
        <v>100041589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.5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.5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.5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.5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/>
      <c r="L11" s="119"/>
    </row>
    <row r="12" spans="1:13" s="5" customFormat="1" ht="13.5">
      <c r="A12" s="1493" t="s">
        <v>299</v>
      </c>
      <c r="B12" s="1494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493" t="s">
        <v>299</v>
      </c>
      <c r="H12" s="1494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.5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.5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33468.128880268938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301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L33" si="1">K17+G18-I18</f>
        <v>240727.85598696821</v>
      </c>
      <c r="L18" s="62">
        <f t="shared" si="1"/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1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J20*'통장내역(환율표)'!$D$25</f>
        <v>720.94226354344482</v>
      </c>
      <c r="J20" s="220">
        <v>107.30071308405988</v>
      </c>
      <c r="K20" s="244">
        <f t="shared" si="1"/>
        <v>240006.91372342478</v>
      </c>
      <c r="L20" s="245">
        <f t="shared" si="1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10663.077736456555</v>
      </c>
      <c r="J21" s="194">
        <f>I21/'통장내역(환율표)'!$D$33</f>
        <v>1588.7759794662702</v>
      </c>
      <c r="K21" s="244">
        <f t="shared" si="1"/>
        <v>229343.83598696822</v>
      </c>
      <c r="L21" s="245">
        <f t="shared" si="1"/>
        <v>34171.794020533729</v>
      </c>
      <c r="M21" s="246"/>
      <c r="N21" s="45">
        <f>35760.57-J21</f>
        <v>34171.794020533729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1"/>
        <v>34127.094656464542</v>
      </c>
      <c r="M22" s="34" t="s">
        <v>247</v>
      </c>
      <c r="N22" s="45">
        <f t="shared" ref="N22:N75" si="2">N21-J22+H22</f>
        <v>34127.094656464542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1"/>
        <v>32978.703924438705</v>
      </c>
      <c r="M23" s="34" t="s">
        <v>247</v>
      </c>
      <c r="N23" s="45">
        <f t="shared" si="2"/>
        <v>32978.703924438705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1"/>
        <v>32266.741393417557</v>
      </c>
      <c r="M24" s="34" t="s">
        <v>247</v>
      </c>
      <c r="N24" s="45">
        <f t="shared" si="2"/>
        <v>32266.741393417557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1"/>
        <v>30255.270010304281</v>
      </c>
      <c r="M25" s="34" t="s">
        <v>247</v>
      </c>
      <c r="N25" s="45">
        <f t="shared" si="2"/>
        <v>30255.270010304281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1"/>
        <v>27275.312405692021</v>
      </c>
      <c r="M26" s="34" t="s">
        <v>247</v>
      </c>
      <c r="N26" s="45">
        <f t="shared" si="2"/>
        <v>27275.312405692021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1"/>
        <v>27230.613041622837</v>
      </c>
      <c r="M27" s="34" t="s">
        <v>286</v>
      </c>
      <c r="N27" s="45">
        <f t="shared" si="2"/>
        <v>27230.613041622837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1"/>
        <v>27136.105176171361</v>
      </c>
      <c r="M28" s="34" t="s">
        <v>286</v>
      </c>
      <c r="N28" s="45">
        <f t="shared" si="2"/>
        <v>27136.105176171361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1"/>
        <v>26490.582289923845</v>
      </c>
      <c r="M29" s="34" t="s">
        <v>286</v>
      </c>
      <c r="N29" s="45">
        <f t="shared" si="2"/>
        <v>26490.582289923845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1"/>
        <v>24479.110906810569</v>
      </c>
      <c r="M30" s="34" t="s">
        <v>286</v>
      </c>
      <c r="N30" s="45">
        <f t="shared" si="2"/>
        <v>24479.110906810569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1"/>
        <v>22393.140583581986</v>
      </c>
      <c r="M31" s="34" t="s">
        <v>286</v>
      </c>
      <c r="N31" s="45">
        <f t="shared" si="2"/>
        <v>22393.140583581986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177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1"/>
        <v>22348.441219512802</v>
      </c>
      <c r="M32" s="34" t="s">
        <v>287</v>
      </c>
      <c r="N32" s="45">
        <f t="shared" si="2"/>
        <v>22348.441219512802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177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1"/>
        <v>22273.69196295871</v>
      </c>
      <c r="M33" s="34" t="s">
        <v>287</v>
      </c>
      <c r="N33" s="45">
        <f t="shared" si="2"/>
        <v>22273.69196295871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177">
        <v>8544.44</v>
      </c>
      <c r="J34" s="194">
        <f>I34/'통장내역(환율표)'!$D$33</f>
        <v>1273.1034477576593</v>
      </c>
      <c r="K34" s="82">
        <f t="shared" ref="K34:L49" si="3">K33+G34-I34</f>
        <v>140945.22598696823</v>
      </c>
      <c r="L34" s="38">
        <f t="shared" si="3"/>
        <v>21000.588515201052</v>
      </c>
      <c r="M34" s="34" t="s">
        <v>287</v>
      </c>
      <c r="N34" s="45">
        <f t="shared" si="2"/>
        <v>21000.588515201052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177">
        <v>21220.91</v>
      </c>
      <c r="J35" s="194">
        <f>I35/'통장내역(환율표)'!$D$33</f>
        <v>3161.8706065646188</v>
      </c>
      <c r="K35" s="82">
        <f t="shared" si="3"/>
        <v>119724.31598696823</v>
      </c>
      <c r="L35" s="38">
        <f t="shared" si="3"/>
        <v>17838.717908636434</v>
      </c>
      <c r="M35" s="34" t="s">
        <v>287</v>
      </c>
      <c r="N35" s="45">
        <f t="shared" si="2"/>
        <v>17838.717908636434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3"/>
        <v>119712.31598696823</v>
      </c>
      <c r="L36" s="38">
        <f t="shared" si="3"/>
        <v>17836.929934073665</v>
      </c>
      <c r="M36" s="34"/>
      <c r="N36" s="45">
        <f t="shared" si="2"/>
        <v>17836.929934073665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3"/>
        <v>91712.315986968228</v>
      </c>
      <c r="L37" s="38">
        <f t="shared" si="3"/>
        <v>13664.989287616499</v>
      </c>
      <c r="M37" s="249" t="s">
        <v>290</v>
      </c>
      <c r="N37" s="45">
        <f t="shared" si="2"/>
        <v>13664.989287616499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3"/>
        <v>91705.115986968231</v>
      </c>
      <c r="L38" s="38">
        <f t="shared" si="3"/>
        <v>13663.916502878839</v>
      </c>
      <c r="M38" s="34"/>
      <c r="N38" s="45">
        <f t="shared" si="2"/>
        <v>13663.916502878839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3"/>
        <v>91156.765986968225</v>
      </c>
      <c r="L39" s="38">
        <f t="shared" si="3"/>
        <v>13582.213515254383</v>
      </c>
      <c r="M39" s="34" t="s">
        <v>235</v>
      </c>
      <c r="N39" s="45">
        <f t="shared" si="2"/>
        <v>13582.213515254383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3"/>
        <v>91153.165986968219</v>
      </c>
      <c r="L40" s="38">
        <f t="shared" si="3"/>
        <v>13581.677122885552</v>
      </c>
      <c r="M40" s="34"/>
      <c r="N40" s="45">
        <f t="shared" si="2"/>
        <v>13581.677122885552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3"/>
        <v>90436.065986968213</v>
      </c>
      <c r="L41" s="38">
        <f t="shared" si="3"/>
        <v>13474.830742972179</v>
      </c>
      <c r="M41" s="34"/>
      <c r="N41" s="45">
        <f t="shared" si="2"/>
        <v>13474.830742972179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3"/>
        <v>89636.065986968213</v>
      </c>
      <c r="L42" s="38">
        <f t="shared" si="3"/>
        <v>13355.632438787688</v>
      </c>
      <c r="M42" s="34"/>
      <c r="N42" s="45">
        <f t="shared" si="2"/>
        <v>13355.632438787688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3"/>
        <v>89632.465986968207</v>
      </c>
      <c r="L43" s="38">
        <f t="shared" si="3"/>
        <v>13355.096046418857</v>
      </c>
      <c r="M43" s="34"/>
      <c r="N43" s="45">
        <f t="shared" si="2"/>
        <v>13355.096046418857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3"/>
        <v>88702.465986968207</v>
      </c>
      <c r="L44" s="38">
        <f t="shared" si="3"/>
        <v>13216.528017804387</v>
      </c>
      <c r="M44" s="34"/>
      <c r="N44" s="45">
        <f t="shared" si="2"/>
        <v>13216.528017804387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3"/>
        <v>87171.275986968205</v>
      </c>
      <c r="L45" s="38">
        <f t="shared" si="3"/>
        <v>12988.383953574074</v>
      </c>
      <c r="M45" s="34"/>
      <c r="N45" s="45">
        <f t="shared" si="2"/>
        <v>12988.383953574074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3"/>
        <v>87152.275986968205</v>
      </c>
      <c r="L46" s="38">
        <f t="shared" si="3"/>
        <v>12985.552993849691</v>
      </c>
      <c r="M46" s="34"/>
      <c r="N46" s="45">
        <f t="shared" si="2"/>
        <v>12985.552993849691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3"/>
        <v>87148.675986968199</v>
      </c>
      <c r="L47" s="38">
        <f t="shared" si="3"/>
        <v>12985.01660148086</v>
      </c>
      <c r="M47" s="34"/>
      <c r="N47" s="45">
        <f t="shared" si="2"/>
        <v>12985.01660148086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3"/>
        <v>86507.185986968194</v>
      </c>
      <c r="L48" s="38">
        <f t="shared" si="3"/>
        <v>12889.435951291724</v>
      </c>
      <c r="M48" s="34" t="s">
        <v>236</v>
      </c>
      <c r="N48" s="45">
        <f t="shared" si="2"/>
        <v>12889.435951291724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3"/>
        <v>86503.585986968188</v>
      </c>
      <c r="L49" s="38">
        <f t="shared" si="3"/>
        <v>12888.899558922893</v>
      </c>
      <c r="M49" s="34"/>
      <c r="N49" s="45">
        <f t="shared" si="2"/>
        <v>12888.899558922893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L65" si="4">K49+G50-I50</f>
        <v>86088.505986968186</v>
      </c>
      <c r="L50" s="38">
        <f t="shared" si="4"/>
        <v>12827.053518796769</v>
      </c>
      <c r="M50" s="34" t="s">
        <v>237</v>
      </c>
      <c r="N50" s="45">
        <f t="shared" si="2"/>
        <v>12827.053518796769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4"/>
        <v>12826.517126427938</v>
      </c>
      <c r="M51" s="34"/>
      <c r="N51" s="45">
        <f t="shared" si="2"/>
        <v>12826.517126427938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4"/>
        <v>12778.837804754141</v>
      </c>
      <c r="M52" s="34"/>
      <c r="N52" s="45">
        <f t="shared" si="2"/>
        <v>12778.837804754141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4"/>
        <v>12759.31908244393</v>
      </c>
      <c r="M53" s="34"/>
      <c r="N53" s="45">
        <f t="shared" si="2"/>
        <v>12759.31908244393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4"/>
        <v>12714.619718374746</v>
      </c>
      <c r="M54" s="34"/>
      <c r="N54" s="45">
        <f t="shared" si="2"/>
        <v>12714.619718374746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4"/>
        <v>12692.270036340155</v>
      </c>
      <c r="M55" s="34"/>
      <c r="N55" s="45">
        <f t="shared" si="2"/>
        <v>12692.270036340155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4"/>
        <v>12691.733643971324</v>
      </c>
      <c r="M56" s="34"/>
      <c r="N56" s="45">
        <f t="shared" si="2"/>
        <v>12691.733643971324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4"/>
        <v>12617.234703856016</v>
      </c>
      <c r="M57" s="34"/>
      <c r="N57" s="45">
        <f t="shared" si="2"/>
        <v>12617.234703856016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4"/>
        <v>12557.784549644002</v>
      </c>
      <c r="M58" s="34"/>
      <c r="N58" s="45">
        <f t="shared" si="2"/>
        <v>12557.784549644002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4"/>
        <v>12557.248157275171</v>
      </c>
      <c r="M59" s="34"/>
      <c r="N59" s="45">
        <f t="shared" si="2"/>
        <v>12557.248157275171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4"/>
        <v>12410.778157275172</v>
      </c>
      <c r="M60" s="34" t="s">
        <v>238</v>
      </c>
      <c r="N60" s="45">
        <f t="shared" si="2"/>
        <v>12410.778157275172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4"/>
        <v>12410.241764906341</v>
      </c>
      <c r="M61" s="34"/>
      <c r="N61" s="45">
        <f t="shared" si="2"/>
        <v>12410.241764906341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4"/>
        <v>12222.441856706071</v>
      </c>
      <c r="M62" s="34" t="s">
        <v>239</v>
      </c>
      <c r="N62" s="45">
        <f t="shared" si="2"/>
        <v>12222.441856706071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4"/>
        <v>12221.90546433724</v>
      </c>
      <c r="M63" s="34"/>
      <c r="N63" s="45">
        <f t="shared" si="2"/>
        <v>12221.90546433724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4"/>
        <v>9325.3866726541237</v>
      </c>
      <c r="M64" s="34" t="s">
        <v>240</v>
      </c>
      <c r="N64" s="45">
        <f t="shared" si="2"/>
        <v>9325.3866726541237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4"/>
        <v>9324.3138879164635</v>
      </c>
      <c r="M65" s="34"/>
      <c r="N65" s="45">
        <f t="shared" si="2"/>
        <v>9324.3138879164635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ref="K66:L75" si="5">K65+G66-I66</f>
        <v>46079.885986968162</v>
      </c>
      <c r="L66" s="38">
        <f t="shared" si="5"/>
        <v>6865.8488641113481</v>
      </c>
      <c r="M66" s="34" t="s">
        <v>241</v>
      </c>
      <c r="N66" s="45">
        <f t="shared" si="2"/>
        <v>6865.8488641113481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5"/>
        <v>46072.685986968165</v>
      </c>
      <c r="L67" s="38">
        <f t="shared" si="5"/>
        <v>6864.7760793736879</v>
      </c>
      <c r="M67" s="34"/>
      <c r="N67" s="45">
        <f t="shared" si="2"/>
        <v>6864.7760793736879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5"/>
        <v>45072.685986968165</v>
      </c>
      <c r="L68" s="38">
        <f t="shared" si="5"/>
        <v>6715.7781991430747</v>
      </c>
      <c r="M68" s="34" t="s">
        <v>242</v>
      </c>
      <c r="N68" s="45">
        <f t="shared" si="2"/>
        <v>6715.7781991430747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5"/>
        <v>45069.085986968166</v>
      </c>
      <c r="L69" s="38">
        <f t="shared" si="5"/>
        <v>6715.2418067742447</v>
      </c>
      <c r="M69" s="34"/>
      <c r="N69" s="45">
        <f t="shared" si="2"/>
        <v>6715.2418067742447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5"/>
        <v>44169.085986968166</v>
      </c>
      <c r="L70" s="38">
        <f t="shared" si="5"/>
        <v>6581.1437145666932</v>
      </c>
      <c r="M70" s="34" t="s">
        <v>243</v>
      </c>
      <c r="N70" s="45">
        <f t="shared" si="2"/>
        <v>6581.1437145666932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5"/>
        <v>44165.485986968168</v>
      </c>
      <c r="L71" s="38">
        <f t="shared" si="5"/>
        <v>6580.6073221978631</v>
      </c>
      <c r="M71" s="34"/>
      <c r="N71" s="45">
        <f t="shared" si="2"/>
        <v>6580.6073221978631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5"/>
        <v>40440.795986968165</v>
      </c>
      <c r="L72" s="38">
        <f t="shared" si="5"/>
        <v>6025.6364076817008</v>
      </c>
      <c r="M72" s="34" t="s">
        <v>244</v>
      </c>
      <c r="N72" s="45">
        <f t="shared" si="2"/>
        <v>6025.6364076817008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5"/>
        <v>40437.195986968167</v>
      </c>
      <c r="L73" s="38">
        <f t="shared" si="5"/>
        <v>6025.1000153128707</v>
      </c>
      <c r="M73" s="34"/>
      <c r="N73" s="45">
        <f t="shared" si="2"/>
        <v>6025.1000153128707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5"/>
        <v>16287.285986968167</v>
      </c>
      <c r="L74" s="38">
        <f t="shared" si="5"/>
        <v>2426.8146175527863</v>
      </c>
      <c r="M74" s="34" t="s">
        <v>245</v>
      </c>
      <c r="N74" s="45">
        <f t="shared" si="2"/>
        <v>2426.8146175527863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5"/>
        <v>16280.085986968166</v>
      </c>
      <c r="L75" s="38">
        <f t="shared" si="5"/>
        <v>2425.7418328151257</v>
      </c>
      <c r="M75" s="34"/>
      <c r="N75" s="45">
        <f t="shared" si="2"/>
        <v>2425.7418328151257</v>
      </c>
    </row>
  </sheetData>
  <autoFilter ref="A16:N75" xr:uid="{00000000-0009-0000-0000-000006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8DA90"/>
    <pageSetUpPr fitToPage="1"/>
  </sheetPr>
  <dimension ref="A1:N67"/>
  <sheetViews>
    <sheetView showGridLines="0" topLeftCell="A16" zoomScaleNormal="100" workbookViewId="0">
      <selection activeCell="E53" sqref="E52:E53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41.625" customWidth="1"/>
    <col min="14" max="14" width="9.625" bestFit="1" customWidth="1"/>
  </cols>
  <sheetData>
    <row r="1" spans="1:13" ht="24">
      <c r="A1" s="1" t="s">
        <v>332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335</v>
      </c>
      <c r="B2" s="2"/>
      <c r="C2" s="2"/>
      <c r="E2" s="4">
        <v>100048802</v>
      </c>
      <c r="F2" s="7"/>
      <c r="G2" s="5" t="s">
        <v>336</v>
      </c>
      <c r="H2" s="2"/>
      <c r="I2" s="2"/>
      <c r="K2" s="4">
        <v>100048803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3453</v>
      </c>
      <c r="J5" s="116">
        <v>513.94055372071318</v>
      </c>
      <c r="K5" s="117">
        <v>670743</v>
      </c>
      <c r="L5" s="248">
        <f t="shared" ref="L5:L10" si="0">K5+E5</f>
        <v>670743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12434.15</v>
      </c>
      <c r="J6" s="116">
        <v>1850.6846035465987</v>
      </c>
      <c r="K6" s="117">
        <v>2415322</v>
      </c>
      <c r="L6" s="248">
        <f t="shared" si="0"/>
        <v>2415322</v>
      </c>
    </row>
    <row r="7" spans="1:13" s="5" customFormat="1" ht="13.5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2893.4272702955877</v>
      </c>
      <c r="K7" s="117">
        <v>3776215</v>
      </c>
      <c r="L7" s="248">
        <f t="shared" si="0"/>
        <v>3776215</v>
      </c>
    </row>
    <row r="8" spans="1:13" s="5" customFormat="1" ht="13.5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2455.841047318786</v>
      </c>
      <c r="K8" s="117">
        <v>3205117</v>
      </c>
      <c r="L8" s="248">
        <f t="shared" si="0"/>
        <v>3205117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997.6</v>
      </c>
      <c r="J9" s="116">
        <v>148.4816381094073</v>
      </c>
      <c r="K9" s="117">
        <v>193781</v>
      </c>
      <c r="L9" s="248">
        <f t="shared" si="0"/>
        <v>193781</v>
      </c>
    </row>
    <row r="10" spans="1:13" s="5" customFormat="1" ht="13.5">
      <c r="A10" s="114" t="s">
        <v>297</v>
      </c>
      <c r="B10" s="115"/>
      <c r="C10" s="116">
        <v>16280.374568992227</v>
      </c>
      <c r="D10" s="116">
        <v>2425.7413001402224</v>
      </c>
      <c r="E10" s="117">
        <v>3151764</v>
      </c>
      <c r="F10" s="121">
        <v>51321010</v>
      </c>
      <c r="G10" s="114" t="s">
        <v>297</v>
      </c>
      <c r="H10" s="115"/>
      <c r="I10" s="116">
        <v>105948.79543100785</v>
      </c>
      <c r="J10" s="116">
        <v>15795.297014148484</v>
      </c>
      <c r="K10" s="117">
        <v>20614446</v>
      </c>
      <c r="L10" s="248">
        <f t="shared" si="0"/>
        <v>23766210</v>
      </c>
    </row>
    <row r="11" spans="1:13" s="5" customFormat="1" ht="13.5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/>
      <c r="J11" s="116"/>
      <c r="K11" s="117"/>
      <c r="L11" s="119"/>
    </row>
    <row r="12" spans="1:13" s="5" customFormat="1" ht="13.5">
      <c r="A12" s="1493" t="s">
        <v>299</v>
      </c>
      <c r="B12" s="1494"/>
      <c r="C12" s="124">
        <f>SUM(C4:C11)</f>
        <v>16280.374568992227</v>
      </c>
      <c r="D12" s="124">
        <f>SUM(D4:D11)</f>
        <v>2425.7413001402224</v>
      </c>
      <c r="E12" s="125">
        <f>SUM(E4:E11)</f>
        <v>3151764</v>
      </c>
      <c r="F12" s="121">
        <v>52981010</v>
      </c>
      <c r="G12" s="1493" t="s">
        <v>299</v>
      </c>
      <c r="H12" s="1494"/>
      <c r="I12" s="124">
        <f>SUM(I4:I11)</f>
        <v>158773.54543100786</v>
      </c>
      <c r="J12" s="124">
        <f>SUM(J4:J11)</f>
        <v>23657.672127139576</v>
      </c>
      <c r="K12" s="125">
        <f>SUM(K4:K10)</f>
        <v>30875624</v>
      </c>
      <c r="L12" s="119"/>
    </row>
    <row r="13" spans="1:13" s="5" customFormat="1" ht="13.5">
      <c r="A13" s="126"/>
      <c r="B13" s="127"/>
      <c r="C13" s="128">
        <f>C12+I12</f>
        <v>175053.9200000001</v>
      </c>
      <c r="D13" s="128">
        <f>D12+J12</f>
        <v>26083.4134272798</v>
      </c>
      <c r="E13" s="250">
        <f>E12+K12</f>
        <v>34027388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.5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SUBTOTAL(9,H17:H67)</f>
        <v>23964.199999999997</v>
      </c>
      <c r="I14" s="137">
        <f>SUBTOTAL(9,I17:I67)</f>
        <v>175053.9200000001</v>
      </c>
      <c r="J14" s="137">
        <f>SUBTOTAL(9,J17:J67)</f>
        <v>26083.413427279778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301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 t="s">
        <v>366</v>
      </c>
      <c r="F17" s="106"/>
      <c r="G17" s="108"/>
      <c r="H17" s="109"/>
      <c r="I17" s="110"/>
      <c r="J17" s="111"/>
      <c r="K17" s="112">
        <v>16280.085986968166</v>
      </c>
      <c r="L17" s="108">
        <v>2425.4813001402222</v>
      </c>
      <c r="M17" s="106"/>
      <c r="N17" s="45">
        <v>2425.4813001402222</v>
      </c>
    </row>
    <row r="18" spans="1:14" s="5" customFormat="1" ht="13.5" customHeight="1">
      <c r="A18" s="36"/>
      <c r="B18" s="247" t="s">
        <v>316</v>
      </c>
      <c r="C18" s="160"/>
      <c r="D18" s="37"/>
      <c r="E18" s="33" t="s">
        <v>21</v>
      </c>
      <c r="F18" s="35"/>
      <c r="G18" s="103"/>
      <c r="H18" s="77">
        <v>0.26</v>
      </c>
      <c r="I18" s="177"/>
      <c r="J18" s="194"/>
      <c r="K18" s="83">
        <f>K17+G18-I18</f>
        <v>16280.085986968166</v>
      </c>
      <c r="L18" s="83">
        <f>L17+H18-J18</f>
        <v>2425.7413001402224</v>
      </c>
      <c r="M18" s="34"/>
      <c r="N18" s="45">
        <f>N17-J18+H18</f>
        <v>2425.7413001402224</v>
      </c>
    </row>
    <row r="19" spans="1:14" s="5" customFormat="1" ht="13.5" customHeight="1">
      <c r="A19" s="57">
        <v>44784</v>
      </c>
      <c r="B19" s="181" t="s">
        <v>232</v>
      </c>
      <c r="C19" s="182"/>
      <c r="D19" s="60">
        <v>1</v>
      </c>
      <c r="E19" s="59"/>
      <c r="F19" s="61"/>
      <c r="G19" s="183">
        <v>160831.26</v>
      </c>
      <c r="H19" s="78">
        <v>23963.94</v>
      </c>
      <c r="I19" s="184"/>
      <c r="J19" s="102"/>
      <c r="K19" s="83">
        <f t="shared" ref="K19:K67" si="1">K18+G19-I19</f>
        <v>177111.34598696817</v>
      </c>
      <c r="L19" s="62">
        <f t="shared" ref="L19:L67" si="2">L18+H19-J19</f>
        <v>26389.681300140222</v>
      </c>
      <c r="M19" s="58" t="s">
        <v>232</v>
      </c>
      <c r="N19" s="45"/>
    </row>
    <row r="20" spans="1:14" s="5" customFormat="1" ht="13.5" customHeight="1">
      <c r="A20" s="57">
        <v>44784</v>
      </c>
      <c r="B20" s="181" t="s">
        <v>288</v>
      </c>
      <c r="C20" s="182"/>
      <c r="D20" s="60"/>
      <c r="E20" s="59" t="s">
        <v>276</v>
      </c>
      <c r="F20" s="61"/>
      <c r="G20" s="183"/>
      <c r="H20" s="78"/>
      <c r="I20" s="184"/>
      <c r="J20" s="86">
        <v>26</v>
      </c>
      <c r="K20" s="83">
        <f t="shared" si="1"/>
        <v>177111.34598696817</v>
      </c>
      <c r="L20" s="62">
        <f t="shared" si="2"/>
        <v>26363.681300140222</v>
      </c>
      <c r="M20" s="58"/>
      <c r="N20" s="45"/>
    </row>
    <row r="21" spans="1:14" s="5" customFormat="1" ht="13.5" customHeight="1">
      <c r="A21" s="36">
        <v>44793</v>
      </c>
      <c r="B21" s="247" t="s">
        <v>130</v>
      </c>
      <c r="C21" s="160"/>
      <c r="D21" s="37">
        <v>2</v>
      </c>
      <c r="E21" s="33" t="s">
        <v>276</v>
      </c>
      <c r="F21" s="35"/>
      <c r="G21" s="103"/>
      <c r="H21" s="77"/>
      <c r="I21" s="177">
        <v>300</v>
      </c>
      <c r="J21" s="194">
        <f>I21/'통장내역(환율표)'!$D$33</f>
        <v>44.699364069183915</v>
      </c>
      <c r="K21" s="82">
        <f t="shared" si="1"/>
        <v>176811.34598696817</v>
      </c>
      <c r="L21" s="38">
        <f t="shared" si="2"/>
        <v>26318.981936071039</v>
      </c>
      <c r="M21" s="34" t="s">
        <v>247</v>
      </c>
      <c r="N21" s="45">
        <f>N18-J21+H21</f>
        <v>2381.0419360710384</v>
      </c>
    </row>
    <row r="22" spans="1:14" s="5" customFormat="1" ht="13.5" customHeight="1">
      <c r="A22" s="36">
        <v>44793</v>
      </c>
      <c r="B22" s="247" t="s">
        <v>246</v>
      </c>
      <c r="C22" s="160"/>
      <c r="D22" s="37">
        <v>2</v>
      </c>
      <c r="E22" s="33" t="s">
        <v>21</v>
      </c>
      <c r="F22" s="35"/>
      <c r="G22" s="103"/>
      <c r="H22" s="77"/>
      <c r="I22" s="177">
        <v>7707.43</v>
      </c>
      <c r="J22" s="194">
        <f>I22/'통장내역(환율표)'!$D$33</f>
        <v>1148.390732025834</v>
      </c>
      <c r="K22" s="82">
        <f t="shared" si="1"/>
        <v>169103.91598696818</v>
      </c>
      <c r="L22" s="38">
        <f t="shared" si="2"/>
        <v>25170.591204045206</v>
      </c>
      <c r="M22" s="34" t="s">
        <v>247</v>
      </c>
      <c r="N22" s="45">
        <f>N21-J22+H22</f>
        <v>1232.6512040452044</v>
      </c>
    </row>
    <row r="23" spans="1:14" s="5" customFormat="1" ht="13.5" customHeight="1">
      <c r="A23" s="36">
        <v>44793</v>
      </c>
      <c r="B23" s="247" t="s">
        <v>330</v>
      </c>
      <c r="C23" s="160"/>
      <c r="D23" s="37">
        <v>2</v>
      </c>
      <c r="E23" s="33" t="s">
        <v>21</v>
      </c>
      <c r="F23" s="35"/>
      <c r="G23" s="103"/>
      <c r="H23" s="77"/>
      <c r="I23" s="177">
        <v>5104.58</v>
      </c>
      <c r="J23" s="194">
        <f>I23/'통장내역(환율표)'!$D$33</f>
        <v>760.5715994675827</v>
      </c>
      <c r="K23" s="82">
        <f t="shared" si="1"/>
        <v>163999.33598696819</v>
      </c>
      <c r="L23" s="38">
        <f t="shared" si="2"/>
        <v>24410.019604577625</v>
      </c>
      <c r="M23" s="34" t="s">
        <v>331</v>
      </c>
      <c r="N23" s="45">
        <f>N22-J23+H23</f>
        <v>472.07960457762169</v>
      </c>
    </row>
    <row r="24" spans="1:14" s="5" customFormat="1" ht="13.5" customHeight="1">
      <c r="A24" s="237">
        <v>44793</v>
      </c>
      <c r="B24" s="252" t="s">
        <v>328</v>
      </c>
      <c r="C24" s="156"/>
      <c r="D24" s="238">
        <v>2</v>
      </c>
      <c r="E24" s="239" t="s">
        <v>21</v>
      </c>
      <c r="F24" s="240"/>
      <c r="G24" s="241"/>
      <c r="H24" s="242"/>
      <c r="I24" s="243">
        <f>J24*'통장내역(환율표)'!$D$33</f>
        <v>3168.3645689922282</v>
      </c>
      <c r="J24" s="194">
        <v>472.07960457762192</v>
      </c>
      <c r="K24" s="244">
        <f t="shared" si="1"/>
        <v>160830.97141797596</v>
      </c>
      <c r="L24" s="245">
        <f t="shared" si="2"/>
        <v>23937.940000000002</v>
      </c>
      <c r="M24" s="246" t="s">
        <v>247</v>
      </c>
      <c r="N24" s="45">
        <f>N23-J24</f>
        <v>0</v>
      </c>
    </row>
    <row r="25" spans="1:14" s="5" customFormat="1" ht="13.5" customHeight="1">
      <c r="A25" s="237">
        <v>44793</v>
      </c>
      <c r="B25" s="252" t="s">
        <v>329</v>
      </c>
      <c r="C25" s="156"/>
      <c r="D25" s="238">
        <v>2</v>
      </c>
      <c r="E25" s="239" t="s">
        <v>21</v>
      </c>
      <c r="F25" s="240"/>
      <c r="G25" s="241"/>
      <c r="H25" s="242"/>
      <c r="I25" s="243">
        <f>13500-I24</f>
        <v>10331.635431007771</v>
      </c>
      <c r="J25" s="86">
        <f>I25/'통장내역(환율표)'!$D$41</f>
        <v>1537.7487501455757</v>
      </c>
      <c r="K25" s="244">
        <f t="shared" si="1"/>
        <v>150499.33598696819</v>
      </c>
      <c r="L25" s="245">
        <f t="shared" si="2"/>
        <v>22400.191249854426</v>
      </c>
      <c r="M25" s="246"/>
      <c r="N25" s="45">
        <f>23937.94-J25</f>
        <v>22400.191249854422</v>
      </c>
    </row>
    <row r="26" spans="1:14" s="5" customFormat="1" ht="13.5" customHeight="1">
      <c r="A26" s="36">
        <v>44793</v>
      </c>
      <c r="B26" s="247" t="s">
        <v>134</v>
      </c>
      <c r="C26" s="160"/>
      <c r="D26" s="37">
        <v>2</v>
      </c>
      <c r="E26" s="33" t="s">
        <v>21</v>
      </c>
      <c r="F26" s="35"/>
      <c r="G26" s="103"/>
      <c r="H26" s="77"/>
      <c r="I26" s="177">
        <v>20000</v>
      </c>
      <c r="J26" s="86">
        <f>I26/'통장내역(환율표)'!$D$41</f>
        <v>2976.7770270530737</v>
      </c>
      <c r="K26" s="82">
        <f t="shared" si="1"/>
        <v>130499.33598696819</v>
      </c>
      <c r="L26" s="38">
        <f t="shared" si="2"/>
        <v>19423.414222801352</v>
      </c>
      <c r="M26" s="34" t="s">
        <v>247</v>
      </c>
      <c r="N26" s="45">
        <f>N25-J26</f>
        <v>19423.414222801348</v>
      </c>
    </row>
    <row r="27" spans="1:14" s="5" customFormat="1" ht="13.5" customHeight="1">
      <c r="A27" s="36">
        <v>44793</v>
      </c>
      <c r="B27" s="247" t="s">
        <v>130</v>
      </c>
      <c r="C27" s="160"/>
      <c r="D27" s="37">
        <v>2</v>
      </c>
      <c r="E27" s="33" t="s">
        <v>21</v>
      </c>
      <c r="F27" s="35"/>
      <c r="G27" s="103"/>
      <c r="H27" s="77"/>
      <c r="I27" s="177">
        <v>300</v>
      </c>
      <c r="J27" s="86">
        <f>I27/'통장내역(환율표)'!$D$41</f>
        <v>44.651655405796106</v>
      </c>
      <c r="K27" s="82">
        <f t="shared" si="1"/>
        <v>130199.33598696819</v>
      </c>
      <c r="L27" s="38">
        <f t="shared" si="2"/>
        <v>19378.762567395555</v>
      </c>
      <c r="M27" s="34" t="s">
        <v>286</v>
      </c>
      <c r="N27" s="45">
        <f t="shared" ref="N27:N67" si="3">N26-J27</f>
        <v>19378.762567395552</v>
      </c>
    </row>
    <row r="28" spans="1:14" s="5" customFormat="1" ht="13.5" customHeight="1">
      <c r="A28" s="36">
        <v>44793</v>
      </c>
      <c r="B28" s="247" t="s">
        <v>246</v>
      </c>
      <c r="C28" s="160"/>
      <c r="D28" s="37">
        <v>2</v>
      </c>
      <c r="E28" s="33" t="s">
        <v>21</v>
      </c>
      <c r="F28" s="35"/>
      <c r="G28" s="103"/>
      <c r="H28" s="77"/>
      <c r="I28" s="177">
        <v>4332.43</v>
      </c>
      <c r="J28" s="86">
        <f>I28/'통장내역(환율표)'!$D$41</f>
        <v>644.83390476577745</v>
      </c>
      <c r="K28" s="82">
        <f t="shared" si="1"/>
        <v>125866.9059869682</v>
      </c>
      <c r="L28" s="38">
        <f t="shared" si="2"/>
        <v>18733.928662629776</v>
      </c>
      <c r="M28" s="34" t="s">
        <v>286</v>
      </c>
      <c r="N28" s="45">
        <f t="shared" si="3"/>
        <v>18733.928662629773</v>
      </c>
    </row>
    <row r="29" spans="1:14" s="5" customFormat="1" ht="13.5" customHeight="1">
      <c r="A29" s="36">
        <v>44793</v>
      </c>
      <c r="B29" s="247" t="s">
        <v>133</v>
      </c>
      <c r="C29" s="160"/>
      <c r="D29" s="37">
        <v>2</v>
      </c>
      <c r="E29" s="33" t="s">
        <v>21</v>
      </c>
      <c r="F29" s="35"/>
      <c r="G29" s="103"/>
      <c r="H29" s="77"/>
      <c r="I29" s="177">
        <v>2071.79</v>
      </c>
      <c r="J29" s="86">
        <f>I29/'통장내역(환율표)'!$D$41</f>
        <v>308.36284384391439</v>
      </c>
      <c r="K29" s="82">
        <f t="shared" si="1"/>
        <v>123795.1159869682</v>
      </c>
      <c r="L29" s="38">
        <f t="shared" si="2"/>
        <v>18425.565818785861</v>
      </c>
      <c r="M29" s="34" t="s">
        <v>286</v>
      </c>
      <c r="N29" s="45">
        <f t="shared" si="3"/>
        <v>18425.565818785857</v>
      </c>
    </row>
    <row r="30" spans="1:14" s="5" customFormat="1" ht="13.5" customHeight="1">
      <c r="A30" s="36">
        <v>44793</v>
      </c>
      <c r="B30" s="247" t="s">
        <v>132</v>
      </c>
      <c r="C30" s="160"/>
      <c r="D30" s="37">
        <v>2</v>
      </c>
      <c r="E30" s="33" t="s">
        <v>21</v>
      </c>
      <c r="F30" s="35"/>
      <c r="G30" s="103"/>
      <c r="H30" s="77"/>
      <c r="I30" s="177">
        <v>13500</v>
      </c>
      <c r="J30" s="86">
        <f>I30/'통장내역(환율표)'!$D$41</f>
        <v>2009.3244932608247</v>
      </c>
      <c r="K30" s="82">
        <f t="shared" si="1"/>
        <v>110295.1159869682</v>
      </c>
      <c r="L30" s="38">
        <f t="shared" si="2"/>
        <v>16416.241325525036</v>
      </c>
      <c r="M30" s="34" t="s">
        <v>286</v>
      </c>
      <c r="N30" s="45">
        <f t="shared" si="3"/>
        <v>16416.241325525032</v>
      </c>
    </row>
    <row r="31" spans="1:14" s="5" customFormat="1" ht="13.5" customHeight="1">
      <c r="A31" s="36">
        <v>44793</v>
      </c>
      <c r="B31" s="247" t="s">
        <v>134</v>
      </c>
      <c r="C31" s="160"/>
      <c r="D31" s="37">
        <v>2</v>
      </c>
      <c r="E31" s="33" t="s">
        <v>21</v>
      </c>
      <c r="F31" s="35"/>
      <c r="G31" s="103"/>
      <c r="H31" s="77"/>
      <c r="I31" s="177">
        <v>14000</v>
      </c>
      <c r="J31" s="86">
        <f>I31/'통장내역(환율표)'!$D$41</f>
        <v>2083.7439189371516</v>
      </c>
      <c r="K31" s="82">
        <f t="shared" si="1"/>
        <v>96295.115986968201</v>
      </c>
      <c r="L31" s="38">
        <f t="shared" si="2"/>
        <v>14332.497406587885</v>
      </c>
      <c r="M31" s="34" t="s">
        <v>286</v>
      </c>
      <c r="N31" s="45">
        <f t="shared" si="3"/>
        <v>14332.497406587881</v>
      </c>
    </row>
    <row r="32" spans="1:14" s="5" customFormat="1" ht="13.5" customHeight="1">
      <c r="A32" s="36">
        <v>44793</v>
      </c>
      <c r="B32" s="247" t="s">
        <v>130</v>
      </c>
      <c r="C32" s="160"/>
      <c r="D32" s="37">
        <v>2</v>
      </c>
      <c r="E32" s="33" t="s">
        <v>21</v>
      </c>
      <c r="F32" s="35"/>
      <c r="G32" s="103"/>
      <c r="H32" s="77"/>
      <c r="I32" s="177">
        <v>300</v>
      </c>
      <c r="J32" s="86">
        <f>I32/'통장내역(환율표)'!$D$41</f>
        <v>44.651655405796106</v>
      </c>
      <c r="K32" s="82">
        <f t="shared" si="1"/>
        <v>95995.115986968201</v>
      </c>
      <c r="L32" s="38">
        <f t="shared" si="2"/>
        <v>14287.845751182089</v>
      </c>
      <c r="M32" s="34" t="s">
        <v>287</v>
      </c>
      <c r="N32" s="45">
        <f t="shared" si="3"/>
        <v>14287.845751182085</v>
      </c>
    </row>
    <row r="33" spans="1:14" s="5" customFormat="1" ht="13.5" customHeight="1">
      <c r="A33" s="36">
        <v>44793</v>
      </c>
      <c r="B33" s="247" t="s">
        <v>246</v>
      </c>
      <c r="C33" s="160"/>
      <c r="D33" s="37">
        <v>2</v>
      </c>
      <c r="E33" s="33" t="s">
        <v>21</v>
      </c>
      <c r="F33" s="35"/>
      <c r="G33" s="103"/>
      <c r="H33" s="77"/>
      <c r="I33" s="177">
        <v>8544.44</v>
      </c>
      <c r="J33" s="86">
        <f>I33/'통장내역(환율표)'!$D$41</f>
        <v>1271.7446350516684</v>
      </c>
      <c r="K33" s="82">
        <f t="shared" si="1"/>
        <v>87450.675986968199</v>
      </c>
      <c r="L33" s="38">
        <f t="shared" si="2"/>
        <v>13016.10111613042</v>
      </c>
      <c r="M33" s="34" t="s">
        <v>287</v>
      </c>
      <c r="N33" s="45">
        <f t="shared" si="3"/>
        <v>13016.101116130416</v>
      </c>
    </row>
    <row r="34" spans="1:14" s="5" customFormat="1" ht="13.5" customHeight="1">
      <c r="A34" s="36">
        <v>44793</v>
      </c>
      <c r="B34" s="247" t="s">
        <v>133</v>
      </c>
      <c r="C34" s="160"/>
      <c r="D34" s="37">
        <v>2</v>
      </c>
      <c r="E34" s="33" t="s">
        <v>21</v>
      </c>
      <c r="F34" s="35"/>
      <c r="G34" s="103"/>
      <c r="H34" s="77"/>
      <c r="I34" s="177">
        <v>501.68</v>
      </c>
      <c r="J34" s="86">
        <f>I34/'통장내역(환율표)'!$D$41</f>
        <v>74.669474946599308</v>
      </c>
      <c r="K34" s="82">
        <f t="shared" si="1"/>
        <v>86948.995986968206</v>
      </c>
      <c r="L34" s="38">
        <f t="shared" si="2"/>
        <v>12941.431641183821</v>
      </c>
      <c r="M34" s="34" t="s">
        <v>287</v>
      </c>
      <c r="N34" s="45">
        <f t="shared" si="3"/>
        <v>12941.431641183817</v>
      </c>
    </row>
    <row r="35" spans="1:14" s="5" customFormat="1" ht="13.5" customHeight="1">
      <c r="A35" s="36">
        <v>44793</v>
      </c>
      <c r="B35" s="247" t="s">
        <v>132</v>
      </c>
      <c r="C35" s="160"/>
      <c r="D35" s="37">
        <v>2</v>
      </c>
      <c r="E35" s="33" t="s">
        <v>21</v>
      </c>
      <c r="F35" s="35"/>
      <c r="G35" s="103"/>
      <c r="H35" s="77"/>
      <c r="I35" s="177">
        <v>21220.91</v>
      </c>
      <c r="J35" s="86">
        <f>I35/'통장내역(환율표)'!$D$41</f>
        <v>3158.495869058042</v>
      </c>
      <c r="K35" s="82">
        <f t="shared" si="1"/>
        <v>65728.085986968203</v>
      </c>
      <c r="L35" s="38">
        <f t="shared" si="2"/>
        <v>9782.9357721257784</v>
      </c>
      <c r="M35" s="34" t="s">
        <v>287</v>
      </c>
      <c r="N35" s="45">
        <f t="shared" si="3"/>
        <v>9782.9357721257747</v>
      </c>
    </row>
    <row r="36" spans="1:14" s="5" customFormat="1" ht="13.5" customHeight="1">
      <c r="A36" s="36">
        <v>44793</v>
      </c>
      <c r="B36" s="247" t="s">
        <v>250</v>
      </c>
      <c r="C36" s="160"/>
      <c r="D36" s="37">
        <v>2</v>
      </c>
      <c r="E36" s="33" t="s">
        <v>21</v>
      </c>
      <c r="F36" s="35"/>
      <c r="G36" s="103"/>
      <c r="H36" s="77"/>
      <c r="I36" s="177">
        <v>12</v>
      </c>
      <c r="J36" s="86">
        <f>I36/'통장내역(환율표)'!$D$41</f>
        <v>1.7860662162318441</v>
      </c>
      <c r="K36" s="82">
        <f t="shared" si="1"/>
        <v>65716.085986968203</v>
      </c>
      <c r="L36" s="38">
        <f t="shared" si="2"/>
        <v>9781.1497059095473</v>
      </c>
      <c r="M36" s="34"/>
      <c r="N36" s="45">
        <f t="shared" si="3"/>
        <v>9781.1497059095436</v>
      </c>
    </row>
    <row r="37" spans="1:14" s="5" customFormat="1" ht="13.5" customHeight="1">
      <c r="A37" s="36">
        <v>44793</v>
      </c>
      <c r="B37" s="159" t="s">
        <v>304</v>
      </c>
      <c r="C37" s="160"/>
      <c r="D37" s="37">
        <v>3</v>
      </c>
      <c r="E37" s="33" t="s">
        <v>318</v>
      </c>
      <c r="F37" s="35" t="s">
        <v>319</v>
      </c>
      <c r="G37" s="103"/>
      <c r="H37" s="77"/>
      <c r="I37" s="177">
        <v>19440</v>
      </c>
      <c r="J37" s="86">
        <f>I37/'통장내역(환율표)'!$D$41</f>
        <v>2893.4272702955877</v>
      </c>
      <c r="K37" s="82">
        <f t="shared" si="1"/>
        <v>46276.085986968203</v>
      </c>
      <c r="L37" s="38">
        <f t="shared" si="2"/>
        <v>6887.7224356139595</v>
      </c>
      <c r="M37" s="34" t="s">
        <v>304</v>
      </c>
      <c r="N37" s="45">
        <f t="shared" si="3"/>
        <v>6887.7224356139559</v>
      </c>
    </row>
    <row r="38" spans="1:14" s="5" customFormat="1" ht="13.5" customHeight="1">
      <c r="A38" s="36">
        <v>44793</v>
      </c>
      <c r="B38" s="247" t="s">
        <v>250</v>
      </c>
      <c r="C38" s="160"/>
      <c r="D38" s="37">
        <v>3</v>
      </c>
      <c r="E38" s="33" t="s">
        <v>276</v>
      </c>
      <c r="F38" s="35"/>
      <c r="G38" s="103"/>
      <c r="H38" s="77"/>
      <c r="I38" s="177">
        <v>7.2</v>
      </c>
      <c r="J38" s="86">
        <f>I38/'통장내역(환율표)'!$D$41</f>
        <v>1.0716397297391065</v>
      </c>
      <c r="K38" s="82">
        <f t="shared" si="1"/>
        <v>46268.885986968206</v>
      </c>
      <c r="L38" s="38">
        <f t="shared" si="2"/>
        <v>6886.6507958842203</v>
      </c>
      <c r="M38" s="34"/>
      <c r="N38" s="45">
        <f t="shared" si="3"/>
        <v>6886.6507958842167</v>
      </c>
    </row>
    <row r="39" spans="1:14" s="5" customFormat="1" ht="13.5" customHeight="1">
      <c r="A39" s="36">
        <v>44793</v>
      </c>
      <c r="B39" s="247" t="s">
        <v>305</v>
      </c>
      <c r="C39" s="160"/>
      <c r="D39" s="37">
        <v>4</v>
      </c>
      <c r="E39" s="33" t="s">
        <v>318</v>
      </c>
      <c r="F39" s="35" t="s">
        <v>320</v>
      </c>
      <c r="G39" s="103"/>
      <c r="H39" s="77"/>
      <c r="I39" s="177">
        <v>16500</v>
      </c>
      <c r="J39" s="86">
        <f>I39/'통장내역(환율표)'!$D$41</f>
        <v>2455.841047318786</v>
      </c>
      <c r="K39" s="82">
        <f t="shared" si="1"/>
        <v>29768.885986968206</v>
      </c>
      <c r="L39" s="38">
        <f t="shared" si="2"/>
        <v>4430.8097485654343</v>
      </c>
      <c r="M39" s="34" t="s">
        <v>305</v>
      </c>
      <c r="N39" s="45">
        <f t="shared" si="3"/>
        <v>4430.8097485654307</v>
      </c>
    </row>
    <row r="40" spans="1:14" s="5" customFormat="1" ht="13.5" customHeight="1">
      <c r="A40" s="36">
        <v>44793</v>
      </c>
      <c r="B40" s="247" t="s">
        <v>250</v>
      </c>
      <c r="C40" s="160"/>
      <c r="D40" s="37">
        <v>4</v>
      </c>
      <c r="E40" s="33" t="s">
        <v>321</v>
      </c>
      <c r="F40" s="35"/>
      <c r="G40" s="103"/>
      <c r="H40" s="77"/>
      <c r="I40" s="177">
        <v>7.2</v>
      </c>
      <c r="J40" s="86">
        <f>I40/'통장내역(환율표)'!$D$41</f>
        <v>1.0716397297391065</v>
      </c>
      <c r="K40" s="82">
        <f t="shared" si="1"/>
        <v>29761.685986968205</v>
      </c>
      <c r="L40" s="38">
        <f t="shared" si="2"/>
        <v>4429.7381088356951</v>
      </c>
      <c r="M40" s="34"/>
      <c r="N40" s="45">
        <f t="shared" si="3"/>
        <v>4429.7381088356915</v>
      </c>
    </row>
    <row r="41" spans="1:14" s="5" customFormat="1" ht="13.5" customHeight="1">
      <c r="A41" s="36">
        <v>44793</v>
      </c>
      <c r="B41" s="247" t="s">
        <v>306</v>
      </c>
      <c r="C41" s="160"/>
      <c r="D41" s="37">
        <v>5</v>
      </c>
      <c r="E41" s="33" t="s">
        <v>321</v>
      </c>
      <c r="F41" s="35"/>
      <c r="G41" s="103"/>
      <c r="H41" s="77"/>
      <c r="I41" s="177">
        <v>1000</v>
      </c>
      <c r="J41" s="86">
        <f>I41/'통장내역(환율표)'!$D$41</f>
        <v>148.83885135265368</v>
      </c>
      <c r="K41" s="82">
        <f t="shared" si="1"/>
        <v>28761.685986968205</v>
      </c>
      <c r="L41" s="38">
        <f t="shared" si="2"/>
        <v>4280.8992574830418</v>
      </c>
      <c r="M41" s="34" t="s">
        <v>306</v>
      </c>
      <c r="N41" s="45">
        <f t="shared" si="3"/>
        <v>4280.8992574830381</v>
      </c>
    </row>
    <row r="42" spans="1:14" s="5" customFormat="1" ht="13.5" customHeight="1">
      <c r="A42" s="36">
        <v>44793</v>
      </c>
      <c r="B42" s="247" t="s">
        <v>250</v>
      </c>
      <c r="C42" s="160"/>
      <c r="D42" s="37">
        <v>5</v>
      </c>
      <c r="E42" s="33" t="s">
        <v>321</v>
      </c>
      <c r="F42" s="35"/>
      <c r="G42" s="103"/>
      <c r="H42" s="77"/>
      <c r="I42" s="177">
        <v>3.6</v>
      </c>
      <c r="J42" s="86">
        <f>I42/'통장내역(환율표)'!$D$41</f>
        <v>0.53581986486955324</v>
      </c>
      <c r="K42" s="82">
        <f t="shared" si="1"/>
        <v>28758.085986968206</v>
      </c>
      <c r="L42" s="38">
        <f t="shared" si="2"/>
        <v>4280.3634376181726</v>
      </c>
      <c r="M42" s="34"/>
      <c r="N42" s="45">
        <f t="shared" si="3"/>
        <v>4280.363437618169</v>
      </c>
    </row>
    <row r="43" spans="1:14" s="5" customFormat="1" ht="13.5" customHeight="1">
      <c r="A43" s="36">
        <v>44793</v>
      </c>
      <c r="B43" s="247" t="s">
        <v>307</v>
      </c>
      <c r="C43" s="160"/>
      <c r="D43" s="37">
        <v>6</v>
      </c>
      <c r="E43" s="33" t="s">
        <v>321</v>
      </c>
      <c r="F43" s="35"/>
      <c r="G43" s="103"/>
      <c r="H43" s="77"/>
      <c r="I43" s="177">
        <v>1311.13</v>
      </c>
      <c r="J43" s="86">
        <f>I43/'통장내역(환율표)'!$D$41</f>
        <v>195.14708317400485</v>
      </c>
      <c r="K43" s="82">
        <f t="shared" si="1"/>
        <v>27446.955986968205</v>
      </c>
      <c r="L43" s="38">
        <f t="shared" si="2"/>
        <v>4085.2163544441678</v>
      </c>
      <c r="M43" s="34" t="s">
        <v>307</v>
      </c>
      <c r="N43" s="45">
        <f t="shared" si="3"/>
        <v>4085.2163544441642</v>
      </c>
    </row>
    <row r="44" spans="1:14" s="5" customFormat="1" ht="13.5" customHeight="1">
      <c r="A44" s="36">
        <v>44793</v>
      </c>
      <c r="B44" s="247" t="s">
        <v>250</v>
      </c>
      <c r="C44" s="160"/>
      <c r="D44" s="37">
        <v>6</v>
      </c>
      <c r="E44" s="33" t="s">
        <v>321</v>
      </c>
      <c r="F44" s="35"/>
      <c r="G44" s="103"/>
      <c r="H44" s="77"/>
      <c r="I44" s="177">
        <v>3.6</v>
      </c>
      <c r="J44" s="86">
        <f>I44/'통장내역(환율표)'!$D$41</f>
        <v>0.53581986486955324</v>
      </c>
      <c r="K44" s="82">
        <f t="shared" si="1"/>
        <v>27443.355986968207</v>
      </c>
      <c r="L44" s="38">
        <f t="shared" si="2"/>
        <v>4084.6805345792982</v>
      </c>
      <c r="M44" s="34"/>
      <c r="N44" s="45">
        <f t="shared" si="3"/>
        <v>4084.6805345792945</v>
      </c>
    </row>
    <row r="45" spans="1:14" s="5" customFormat="1" ht="13.5" customHeight="1">
      <c r="A45" s="36">
        <v>44793</v>
      </c>
      <c r="B45" s="247" t="s">
        <v>308</v>
      </c>
      <c r="C45" s="160"/>
      <c r="D45" s="37">
        <v>7</v>
      </c>
      <c r="E45" s="33" t="s">
        <v>278</v>
      </c>
      <c r="F45" s="35" t="s">
        <v>322</v>
      </c>
      <c r="G45" s="103"/>
      <c r="H45" s="77"/>
      <c r="I45" s="177">
        <v>2967</v>
      </c>
      <c r="J45" s="86">
        <f>I45/'통장내역(환율표)'!$D$41</f>
        <v>441.60487196332349</v>
      </c>
      <c r="K45" s="82">
        <f t="shared" si="1"/>
        <v>24476.355986968207</v>
      </c>
      <c r="L45" s="38">
        <f t="shared" si="2"/>
        <v>3643.0756626159746</v>
      </c>
      <c r="M45" s="34" t="s">
        <v>317</v>
      </c>
      <c r="N45" s="45">
        <f t="shared" si="3"/>
        <v>3643.0756626159709</v>
      </c>
    </row>
    <row r="46" spans="1:14" s="5" customFormat="1" ht="13.5" customHeight="1">
      <c r="A46" s="36">
        <v>44793</v>
      </c>
      <c r="B46" s="247" t="s">
        <v>250</v>
      </c>
      <c r="C46" s="160"/>
      <c r="D46" s="37">
        <v>7</v>
      </c>
      <c r="E46" s="33" t="s">
        <v>321</v>
      </c>
      <c r="F46" s="35"/>
      <c r="G46" s="103"/>
      <c r="H46" s="77"/>
      <c r="I46" s="177">
        <v>3.6</v>
      </c>
      <c r="J46" s="86">
        <f>I46/'통장내역(환율표)'!$D$41</f>
        <v>0.53581986486955324</v>
      </c>
      <c r="K46" s="82">
        <f t="shared" si="1"/>
        <v>24472.755986968208</v>
      </c>
      <c r="L46" s="38">
        <f t="shared" si="2"/>
        <v>3642.539842751105</v>
      </c>
      <c r="M46" s="34"/>
      <c r="N46" s="45">
        <f t="shared" si="3"/>
        <v>3642.5398427511013</v>
      </c>
    </row>
    <row r="47" spans="1:14" s="5" customFormat="1" ht="13.5" customHeight="1">
      <c r="A47" s="36">
        <v>44793</v>
      </c>
      <c r="B47" s="247" t="s">
        <v>11</v>
      </c>
      <c r="C47" s="160"/>
      <c r="D47" s="37">
        <v>8</v>
      </c>
      <c r="E47" s="33" t="s">
        <v>323</v>
      </c>
      <c r="F47" s="35" t="s">
        <v>324</v>
      </c>
      <c r="G47" s="103"/>
      <c r="H47" s="77"/>
      <c r="I47" s="177">
        <v>3340</v>
      </c>
      <c r="J47" s="86">
        <f>I47/'통장내역(환율표)'!$D$41</f>
        <v>497.12176351786331</v>
      </c>
      <c r="K47" s="82">
        <f t="shared" si="1"/>
        <v>21132.755986968208</v>
      </c>
      <c r="L47" s="38">
        <f t="shared" si="2"/>
        <v>3145.4180792332418</v>
      </c>
      <c r="M47" s="34" t="s">
        <v>11</v>
      </c>
      <c r="N47" s="45">
        <f t="shared" si="3"/>
        <v>3145.4180792332381</v>
      </c>
    </row>
    <row r="48" spans="1:14" s="5" customFormat="1" ht="13.5" customHeight="1">
      <c r="A48" s="36">
        <v>44793</v>
      </c>
      <c r="B48" s="247" t="s">
        <v>250</v>
      </c>
      <c r="C48" s="160"/>
      <c r="D48" s="37">
        <v>8</v>
      </c>
      <c r="E48" s="33" t="s">
        <v>321</v>
      </c>
      <c r="F48" s="35"/>
      <c r="G48" s="103"/>
      <c r="H48" s="77"/>
      <c r="I48" s="177">
        <v>3.6</v>
      </c>
      <c r="J48" s="86">
        <f>I48/'통장내역(환율표)'!$D$41</f>
        <v>0.53581986486955324</v>
      </c>
      <c r="K48" s="82">
        <f t="shared" si="1"/>
        <v>21129.15598696821</v>
      </c>
      <c r="L48" s="38">
        <f t="shared" si="2"/>
        <v>3144.8822593683722</v>
      </c>
      <c r="M48" s="34"/>
      <c r="N48" s="45">
        <f t="shared" si="3"/>
        <v>3144.8822593683685</v>
      </c>
    </row>
    <row r="49" spans="1:14" s="5" customFormat="1" ht="13.5" customHeight="1">
      <c r="A49" s="36">
        <v>44793</v>
      </c>
      <c r="B49" s="247" t="s">
        <v>309</v>
      </c>
      <c r="C49" s="160"/>
      <c r="D49" s="37">
        <v>9</v>
      </c>
      <c r="E49" s="33" t="s">
        <v>325</v>
      </c>
      <c r="F49" s="35" t="s">
        <v>322</v>
      </c>
      <c r="G49" s="103"/>
      <c r="H49" s="77"/>
      <c r="I49" s="177">
        <v>4279.0600000000004</v>
      </c>
      <c r="J49" s="86">
        <f>I49/'통장내역(환율표)'!$D$41</f>
        <v>636.89037526908635</v>
      </c>
      <c r="K49" s="82">
        <f t="shared" si="1"/>
        <v>16850.095986968208</v>
      </c>
      <c r="L49" s="38">
        <f t="shared" si="2"/>
        <v>2507.9918840992859</v>
      </c>
      <c r="M49" s="34" t="s">
        <v>309</v>
      </c>
      <c r="N49" s="45">
        <f t="shared" si="3"/>
        <v>2507.9918840992823</v>
      </c>
    </row>
    <row r="50" spans="1:14" s="5" customFormat="1" ht="13.5" customHeight="1">
      <c r="A50" s="36">
        <v>44793</v>
      </c>
      <c r="B50" s="247" t="s">
        <v>250</v>
      </c>
      <c r="C50" s="160"/>
      <c r="D50" s="37">
        <v>9</v>
      </c>
      <c r="E50" s="33" t="s">
        <v>321</v>
      </c>
      <c r="F50" s="35"/>
      <c r="G50" s="103"/>
      <c r="H50" s="77"/>
      <c r="I50" s="177">
        <v>3.6</v>
      </c>
      <c r="J50" s="86">
        <f>I50/'통장내역(환율표)'!$D$41</f>
        <v>0.53581986486955324</v>
      </c>
      <c r="K50" s="82">
        <f t="shared" si="1"/>
        <v>16846.49598696821</v>
      </c>
      <c r="L50" s="38">
        <f t="shared" si="2"/>
        <v>2507.4560642344163</v>
      </c>
      <c r="M50" s="34"/>
      <c r="N50" s="45">
        <f t="shared" si="3"/>
        <v>2507.4560642344127</v>
      </c>
    </row>
    <row r="51" spans="1:14" s="5" customFormat="1" ht="13.5" customHeight="1">
      <c r="A51" s="36">
        <v>44793</v>
      </c>
      <c r="B51" s="247" t="s">
        <v>310</v>
      </c>
      <c r="C51" s="160"/>
      <c r="D51" s="37">
        <v>10</v>
      </c>
      <c r="E51" s="33" t="s">
        <v>321</v>
      </c>
      <c r="F51" s="35"/>
      <c r="G51" s="103"/>
      <c r="H51" s="77"/>
      <c r="I51" s="177">
        <v>7150</v>
      </c>
      <c r="J51" s="86">
        <f>I51/'통장내역(환율표)'!$D$41</f>
        <v>1064.1977871714739</v>
      </c>
      <c r="K51" s="82">
        <f t="shared" si="1"/>
        <v>9696.4959869682098</v>
      </c>
      <c r="L51" s="38">
        <f t="shared" si="2"/>
        <v>1443.2582770629424</v>
      </c>
      <c r="M51" s="34" t="s">
        <v>310</v>
      </c>
      <c r="N51" s="45">
        <f t="shared" si="3"/>
        <v>1443.2582770629388</v>
      </c>
    </row>
    <row r="52" spans="1:14" s="5" customFormat="1" ht="13.5" customHeight="1">
      <c r="A52" s="36">
        <v>44793</v>
      </c>
      <c r="B52" s="247" t="s">
        <v>250</v>
      </c>
      <c r="C52" s="160"/>
      <c r="D52" s="37">
        <v>10</v>
      </c>
      <c r="E52" s="33" t="s">
        <v>321</v>
      </c>
      <c r="F52" s="35"/>
      <c r="G52" s="103"/>
      <c r="H52" s="77"/>
      <c r="I52" s="177">
        <v>3.6</v>
      </c>
      <c r="J52" s="86">
        <f>I52/'통장내역(환율표)'!$D$41</f>
        <v>0.53581986486955324</v>
      </c>
      <c r="K52" s="82">
        <f t="shared" si="1"/>
        <v>9692.8959869682094</v>
      </c>
      <c r="L52" s="38">
        <f t="shared" si="2"/>
        <v>1442.7224571980728</v>
      </c>
      <c r="M52" s="34"/>
      <c r="N52" s="45">
        <f t="shared" si="3"/>
        <v>1442.7224571980692</v>
      </c>
    </row>
    <row r="53" spans="1:14" s="5" customFormat="1" ht="13.5" customHeight="1">
      <c r="A53" s="36">
        <v>44793</v>
      </c>
      <c r="B53" s="247" t="s">
        <v>311</v>
      </c>
      <c r="C53" s="160"/>
      <c r="D53" s="37">
        <v>11</v>
      </c>
      <c r="E53" s="33" t="s">
        <v>325</v>
      </c>
      <c r="F53" s="35" t="s">
        <v>322</v>
      </c>
      <c r="G53" s="103"/>
      <c r="H53" s="77"/>
      <c r="I53" s="177">
        <v>1683.08</v>
      </c>
      <c r="J53" s="86">
        <f>I53/'통장내역(환율표)'!$D$41</f>
        <v>250.50769393462437</v>
      </c>
      <c r="K53" s="82">
        <f t="shared" si="1"/>
        <v>8009.8159869682095</v>
      </c>
      <c r="L53" s="38">
        <f t="shared" si="2"/>
        <v>1192.2147632634485</v>
      </c>
      <c r="M53" s="34" t="s">
        <v>311</v>
      </c>
      <c r="N53" s="45">
        <f t="shared" si="3"/>
        <v>1192.2147632634449</v>
      </c>
    </row>
    <row r="54" spans="1:14" s="5" customFormat="1" ht="13.5" customHeight="1">
      <c r="A54" s="36">
        <v>44793</v>
      </c>
      <c r="B54" s="247" t="s">
        <v>250</v>
      </c>
      <c r="C54" s="160"/>
      <c r="D54" s="37">
        <v>11</v>
      </c>
      <c r="E54" s="33" t="s">
        <v>321</v>
      </c>
      <c r="F54" s="35"/>
      <c r="G54" s="103"/>
      <c r="H54" s="77"/>
      <c r="I54" s="177">
        <v>3.6</v>
      </c>
      <c r="J54" s="86">
        <f>I54/'통장내역(환율표)'!$D$41</f>
        <v>0.53581986486955324</v>
      </c>
      <c r="K54" s="82">
        <f t="shared" si="1"/>
        <v>8006.2159869682091</v>
      </c>
      <c r="L54" s="38">
        <f t="shared" si="2"/>
        <v>1191.6789433985789</v>
      </c>
      <c r="M54" s="34"/>
      <c r="N54" s="45">
        <f t="shared" si="3"/>
        <v>1191.6789433985753</v>
      </c>
    </row>
    <row r="55" spans="1:14" s="5" customFormat="1" ht="13.5" customHeight="1">
      <c r="A55" s="36">
        <v>44793</v>
      </c>
      <c r="B55" s="247" t="s">
        <v>312</v>
      </c>
      <c r="C55" s="160"/>
      <c r="D55" s="37">
        <v>12</v>
      </c>
      <c r="E55" s="33" t="s">
        <v>321</v>
      </c>
      <c r="F55" s="35"/>
      <c r="G55" s="103"/>
      <c r="H55" s="77"/>
      <c r="I55" s="177">
        <v>530</v>
      </c>
      <c r="J55" s="86">
        <f>I55/'통장내역(환율표)'!$D$41</f>
        <v>78.884591216906458</v>
      </c>
      <c r="K55" s="82">
        <f t="shared" si="1"/>
        <v>7476.2159869682091</v>
      </c>
      <c r="L55" s="38">
        <f t="shared" si="2"/>
        <v>1112.7943521816724</v>
      </c>
      <c r="M55" s="34" t="s">
        <v>312</v>
      </c>
      <c r="N55" s="45">
        <f t="shared" si="3"/>
        <v>1112.7943521816687</v>
      </c>
    </row>
    <row r="56" spans="1:14" s="5" customFormat="1" ht="13.5" customHeight="1">
      <c r="A56" s="36">
        <v>44793</v>
      </c>
      <c r="B56" s="247" t="s">
        <v>250</v>
      </c>
      <c r="C56" s="160"/>
      <c r="D56" s="37">
        <v>12</v>
      </c>
      <c r="E56" s="33" t="s">
        <v>321</v>
      </c>
      <c r="F56" s="35"/>
      <c r="G56" s="103"/>
      <c r="H56" s="77"/>
      <c r="I56" s="177">
        <v>3.6</v>
      </c>
      <c r="J56" s="86">
        <f>I56/'통장내역(환율표)'!$D$41</f>
        <v>0.53581986486955324</v>
      </c>
      <c r="K56" s="82">
        <f t="shared" si="1"/>
        <v>7472.6159869682087</v>
      </c>
      <c r="L56" s="38">
        <f t="shared" si="2"/>
        <v>1112.2585323168028</v>
      </c>
      <c r="M56" s="34"/>
      <c r="N56" s="45">
        <f t="shared" si="3"/>
        <v>1112.2585323167991</v>
      </c>
    </row>
    <row r="57" spans="1:14" s="5" customFormat="1" ht="13.5" customHeight="1">
      <c r="A57" s="36">
        <v>44793</v>
      </c>
      <c r="B57" s="247" t="s">
        <v>313</v>
      </c>
      <c r="C57" s="160"/>
      <c r="D57" s="37">
        <v>13</v>
      </c>
      <c r="E57" s="33" t="s">
        <v>326</v>
      </c>
      <c r="F57" s="35" t="s">
        <v>327</v>
      </c>
      <c r="G57" s="103"/>
      <c r="H57" s="77"/>
      <c r="I57" s="177">
        <v>98.6</v>
      </c>
      <c r="J57" s="86">
        <f>I57/'통장내역(환율표)'!$D$41</f>
        <v>14.675510743371653</v>
      </c>
      <c r="K57" s="82">
        <f t="shared" si="1"/>
        <v>7374.0159869682084</v>
      </c>
      <c r="L57" s="38">
        <f t="shared" si="2"/>
        <v>1097.5830215734311</v>
      </c>
      <c r="M57" s="34" t="s">
        <v>334</v>
      </c>
      <c r="N57" s="45">
        <f t="shared" si="3"/>
        <v>1097.5830215734275</v>
      </c>
    </row>
    <row r="58" spans="1:14" s="5" customFormat="1" ht="13.5" customHeight="1">
      <c r="A58" s="36">
        <v>44793</v>
      </c>
      <c r="B58" s="247" t="s">
        <v>250</v>
      </c>
      <c r="C58" s="160"/>
      <c r="D58" s="37">
        <v>13</v>
      </c>
      <c r="E58" s="33" t="s">
        <v>321</v>
      </c>
      <c r="F58" s="35"/>
      <c r="G58" s="103"/>
      <c r="H58" s="77"/>
      <c r="I58" s="177">
        <v>3.6</v>
      </c>
      <c r="J58" s="86">
        <f>I58/'통장내역(환율표)'!$D$41</f>
        <v>0.53581986486955324</v>
      </c>
      <c r="K58" s="82">
        <f t="shared" si="1"/>
        <v>7370.415986968208</v>
      </c>
      <c r="L58" s="38">
        <f t="shared" si="2"/>
        <v>1097.0472017085615</v>
      </c>
      <c r="M58" s="34"/>
      <c r="N58" s="45">
        <f t="shared" si="3"/>
        <v>1097.0472017085578</v>
      </c>
    </row>
    <row r="59" spans="1:14" s="5" customFormat="1" ht="13.5" customHeight="1">
      <c r="A59" s="36">
        <v>44793</v>
      </c>
      <c r="B59" s="247" t="s">
        <v>258</v>
      </c>
      <c r="C59" s="160"/>
      <c r="D59" s="37">
        <v>14</v>
      </c>
      <c r="E59" s="33" t="s">
        <v>326</v>
      </c>
      <c r="F59" s="35" t="s">
        <v>327</v>
      </c>
      <c r="G59" s="103"/>
      <c r="H59" s="77"/>
      <c r="I59" s="177">
        <v>500</v>
      </c>
      <c r="J59" s="86">
        <f>I59/'통장내역(환율표)'!$D$41</f>
        <v>74.419425676326838</v>
      </c>
      <c r="K59" s="82">
        <f t="shared" si="1"/>
        <v>6870.415986968208</v>
      </c>
      <c r="L59" s="38">
        <f t="shared" si="2"/>
        <v>1022.6277760322347</v>
      </c>
      <c r="M59" s="34" t="s">
        <v>333</v>
      </c>
      <c r="N59" s="45">
        <f t="shared" si="3"/>
        <v>1022.6277760322311</v>
      </c>
    </row>
    <row r="60" spans="1:14" s="5" customFormat="1" ht="13.5" customHeight="1">
      <c r="A60" s="36">
        <v>44793</v>
      </c>
      <c r="B60" s="247" t="s">
        <v>259</v>
      </c>
      <c r="C60" s="160"/>
      <c r="D60" s="37">
        <v>14</v>
      </c>
      <c r="E60" s="33" t="s">
        <v>326</v>
      </c>
      <c r="F60" s="35" t="s">
        <v>327</v>
      </c>
      <c r="G60" s="103"/>
      <c r="H60" s="77"/>
      <c r="I60" s="177">
        <v>399</v>
      </c>
      <c r="J60" s="86">
        <f>I60/'통장내역(환율표)'!$D$41</f>
        <v>59.386701689708822</v>
      </c>
      <c r="K60" s="82">
        <f t="shared" si="1"/>
        <v>6471.415986968208</v>
      </c>
      <c r="L60" s="38">
        <f t="shared" si="2"/>
        <v>963.24107434252585</v>
      </c>
      <c r="M60" s="34"/>
      <c r="N60" s="45">
        <f t="shared" si="3"/>
        <v>963.24107434252221</v>
      </c>
    </row>
    <row r="61" spans="1:14" s="5" customFormat="1" ht="13.5" customHeight="1">
      <c r="A61" s="36">
        <v>44793</v>
      </c>
      <c r="B61" s="247" t="s">
        <v>250</v>
      </c>
      <c r="C61" s="160"/>
      <c r="D61" s="37">
        <v>14</v>
      </c>
      <c r="E61" s="33" t="s">
        <v>321</v>
      </c>
      <c r="F61" s="35"/>
      <c r="G61" s="103"/>
      <c r="H61" s="77"/>
      <c r="I61" s="177">
        <v>3.6</v>
      </c>
      <c r="J61" s="86">
        <f>I61/'통장내역(환율표)'!$D$41</f>
        <v>0.53581986486955324</v>
      </c>
      <c r="K61" s="82">
        <f t="shared" si="1"/>
        <v>6467.8159869682077</v>
      </c>
      <c r="L61" s="38">
        <f t="shared" si="2"/>
        <v>962.70525447765624</v>
      </c>
      <c r="M61" s="34"/>
      <c r="N61" s="45">
        <f t="shared" si="3"/>
        <v>962.7052544776526</v>
      </c>
    </row>
    <row r="62" spans="1:14" s="5" customFormat="1" ht="13.5" customHeight="1">
      <c r="A62" s="36">
        <v>44793</v>
      </c>
      <c r="B62" s="247" t="s">
        <v>314</v>
      </c>
      <c r="C62" s="160"/>
      <c r="D62" s="37">
        <v>15</v>
      </c>
      <c r="E62" s="33" t="s">
        <v>321</v>
      </c>
      <c r="F62" s="35"/>
      <c r="G62" s="103"/>
      <c r="H62" s="77"/>
      <c r="I62" s="177">
        <v>781.58</v>
      </c>
      <c r="J62" s="86">
        <f>I62/'통장내역(환율표)'!$D$41</f>
        <v>116.32946944020708</v>
      </c>
      <c r="K62" s="82">
        <f t="shared" si="1"/>
        <v>5686.2359869682077</v>
      </c>
      <c r="L62" s="38">
        <f t="shared" si="2"/>
        <v>846.37578503744919</v>
      </c>
      <c r="M62" s="34" t="s">
        <v>314</v>
      </c>
      <c r="N62" s="45">
        <f t="shared" si="3"/>
        <v>846.37578503744555</v>
      </c>
    </row>
    <row r="63" spans="1:14" s="5" customFormat="1" ht="13.5" customHeight="1">
      <c r="A63" s="36">
        <v>44793</v>
      </c>
      <c r="B63" s="247" t="s">
        <v>250</v>
      </c>
      <c r="C63" s="160"/>
      <c r="D63" s="37">
        <v>15</v>
      </c>
      <c r="E63" s="33" t="s">
        <v>321</v>
      </c>
      <c r="F63" s="35"/>
      <c r="G63" s="103"/>
      <c r="H63" s="77"/>
      <c r="I63" s="177">
        <v>3.6</v>
      </c>
      <c r="J63" s="86">
        <f>I63/'통장내역(환율표)'!$D$41</f>
        <v>0.53581986486955324</v>
      </c>
      <c r="K63" s="82">
        <f t="shared" si="1"/>
        <v>5682.6359869682074</v>
      </c>
      <c r="L63" s="38">
        <f t="shared" si="2"/>
        <v>845.83996517257958</v>
      </c>
      <c r="M63" s="34"/>
      <c r="N63" s="45">
        <f t="shared" si="3"/>
        <v>845.83996517257594</v>
      </c>
    </row>
    <row r="64" spans="1:14" s="5" customFormat="1" ht="13.5" customHeight="1">
      <c r="A64" s="36">
        <v>44793</v>
      </c>
      <c r="B64" s="247" t="s">
        <v>11</v>
      </c>
      <c r="C64" s="160"/>
      <c r="D64" s="37">
        <v>16</v>
      </c>
      <c r="E64" s="33" t="s">
        <v>323</v>
      </c>
      <c r="F64" s="35" t="s">
        <v>324</v>
      </c>
      <c r="G64" s="103"/>
      <c r="H64" s="77"/>
      <c r="I64" s="177">
        <v>113</v>
      </c>
      <c r="J64" s="86">
        <f>I64/'통장내역(환율표)'!$D$41</f>
        <v>16.818790202849868</v>
      </c>
      <c r="K64" s="82">
        <f t="shared" si="1"/>
        <v>5569.6359869682074</v>
      </c>
      <c r="L64" s="38">
        <f t="shared" si="2"/>
        <v>829.02117496972971</v>
      </c>
      <c r="M64" s="34" t="s">
        <v>11</v>
      </c>
      <c r="N64" s="45">
        <f t="shared" si="3"/>
        <v>829.02117496972608</v>
      </c>
    </row>
    <row r="65" spans="1:14" s="5" customFormat="1" ht="13.5" customHeight="1">
      <c r="A65" s="36">
        <v>44793</v>
      </c>
      <c r="B65" s="247" t="s">
        <v>250</v>
      </c>
      <c r="C65" s="160"/>
      <c r="D65" s="37">
        <v>16</v>
      </c>
      <c r="E65" s="33" t="s">
        <v>321</v>
      </c>
      <c r="F65" s="35"/>
      <c r="G65" s="103"/>
      <c r="H65" s="77"/>
      <c r="I65" s="177">
        <v>3.6</v>
      </c>
      <c r="J65" s="86">
        <f>I65/'통장내역(환율표)'!$D$41</f>
        <v>0.53581986486955324</v>
      </c>
      <c r="K65" s="82">
        <f t="shared" si="1"/>
        <v>5566.035986968207</v>
      </c>
      <c r="L65" s="38">
        <f t="shared" si="2"/>
        <v>828.4853551048601</v>
      </c>
      <c r="M65" s="34"/>
      <c r="N65" s="45">
        <f t="shared" si="3"/>
        <v>828.48535510485647</v>
      </c>
    </row>
    <row r="66" spans="1:14" s="5" customFormat="1" ht="13.5" customHeight="1">
      <c r="A66" s="36">
        <v>44793</v>
      </c>
      <c r="B66" s="247" t="s">
        <v>315</v>
      </c>
      <c r="C66" s="160"/>
      <c r="D66" s="37">
        <v>17</v>
      </c>
      <c r="E66" s="33" t="s">
        <v>325</v>
      </c>
      <c r="F66" s="35" t="s">
        <v>322</v>
      </c>
      <c r="G66" s="103"/>
      <c r="H66" s="77"/>
      <c r="I66" s="177">
        <v>3505.01</v>
      </c>
      <c r="J66" s="86">
        <f>I66/'통장내역(환율표)'!$D$41</f>
        <v>521.68166237956473</v>
      </c>
      <c r="K66" s="82">
        <f t="shared" si="1"/>
        <v>2061.0259869682068</v>
      </c>
      <c r="L66" s="38">
        <f t="shared" si="2"/>
        <v>306.80369272529538</v>
      </c>
      <c r="M66" s="34" t="s">
        <v>315</v>
      </c>
      <c r="N66" s="45">
        <f t="shared" si="3"/>
        <v>306.80369272529174</v>
      </c>
    </row>
    <row r="67" spans="1:14" s="5" customFormat="1" ht="13.5" customHeight="1">
      <c r="A67" s="36">
        <v>44793</v>
      </c>
      <c r="B67" s="247" t="s">
        <v>250</v>
      </c>
      <c r="C67" s="160"/>
      <c r="D67" s="37">
        <v>17</v>
      </c>
      <c r="E67" s="33" t="s">
        <v>321</v>
      </c>
      <c r="F67" s="35"/>
      <c r="G67" s="103"/>
      <c r="H67" s="77"/>
      <c r="I67" s="177">
        <v>3.6</v>
      </c>
      <c r="J67" s="86">
        <f>I67/'통장내역(환율표)'!$D$41</f>
        <v>0.53581986486955324</v>
      </c>
      <c r="K67" s="82">
        <f t="shared" si="1"/>
        <v>2057.4259869682069</v>
      </c>
      <c r="L67" s="38">
        <f t="shared" si="2"/>
        <v>306.26787286042583</v>
      </c>
      <c r="M67" s="34"/>
      <c r="N67" s="45">
        <f t="shared" si="3"/>
        <v>306.26787286042219</v>
      </c>
    </row>
  </sheetData>
  <autoFilter ref="A16:N67" xr:uid="{00000000-0009-0000-0000-000007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N62"/>
  <sheetViews>
    <sheetView showGridLines="0" zoomScaleNormal="100" workbookViewId="0">
      <selection activeCell="D14" sqref="D14"/>
    </sheetView>
  </sheetViews>
  <sheetFormatPr defaultRowHeight="16.5"/>
  <cols>
    <col min="1" max="1" width="10.25" bestFit="1" customWidth="1"/>
    <col min="2" max="2" width="26.375" bestFit="1" customWidth="1"/>
    <col min="3" max="3" width="12.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41.625" customWidth="1"/>
    <col min="14" max="14" width="9.625" bestFit="1" customWidth="1"/>
  </cols>
  <sheetData>
    <row r="1" spans="1:13" ht="24">
      <c r="A1" s="1" t="s">
        <v>365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381</v>
      </c>
      <c r="B2" s="2"/>
      <c r="C2" s="2"/>
      <c r="E2" s="4">
        <v>100055945</v>
      </c>
      <c r="F2" s="7"/>
      <c r="G2" s="5" t="s">
        <v>382</v>
      </c>
      <c r="H2" s="2"/>
      <c r="I2" s="2"/>
      <c r="K2" s="4">
        <v>100055946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8344</v>
      </c>
      <c r="J5" s="116">
        <v>1201.9333551219406</v>
      </c>
      <c r="K5" s="117">
        <v>1660106</v>
      </c>
      <c r="L5" s="248">
        <f t="shared" ref="L5:L10" si="0">K5+E5</f>
        <v>1660106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4939.87</v>
      </c>
      <c r="J6" s="116">
        <v>711.57652480419711</v>
      </c>
      <c r="K6" s="117">
        <v>982834</v>
      </c>
      <c r="L6" s="248">
        <f t="shared" si="0"/>
        <v>982834</v>
      </c>
    </row>
    <row r="7" spans="1:13" s="5" customFormat="1" ht="13.5">
      <c r="A7" s="114" t="s">
        <v>75</v>
      </c>
      <c r="B7" s="115" t="s">
        <v>16</v>
      </c>
      <c r="C7" s="116">
        <v>2057.7145689922154</v>
      </c>
      <c r="D7" s="116">
        <v>306.26787286042219</v>
      </c>
      <c r="E7" s="117">
        <v>399713</v>
      </c>
      <c r="F7" s="121">
        <v>51201020</v>
      </c>
      <c r="G7" s="114" t="s">
        <v>75</v>
      </c>
      <c r="H7" s="115" t="s">
        <v>16</v>
      </c>
      <c r="I7" s="116">
        <v>17382.285431007786</v>
      </c>
      <c r="J7" s="116">
        <v>2503.8768753329837</v>
      </c>
      <c r="K7" s="117">
        <v>3458359</v>
      </c>
      <c r="L7" s="248">
        <f t="shared" si="0"/>
        <v>3858072</v>
      </c>
    </row>
    <row r="8" spans="1:13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1512.5000274185495</v>
      </c>
      <c r="K8" s="117">
        <v>2089065</v>
      </c>
      <c r="L8" s="248">
        <f t="shared" si="0"/>
        <v>2089065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297.5</v>
      </c>
      <c r="J9" s="116">
        <v>42.854167443525569</v>
      </c>
      <c r="K9" s="117">
        <v>59184</v>
      </c>
      <c r="L9" s="248">
        <f t="shared" si="0"/>
        <v>59184</v>
      </c>
    </row>
    <row r="10" spans="1:13" s="5" customFormat="1" ht="13.5">
      <c r="A10" s="114" t="s">
        <v>62</v>
      </c>
      <c r="B10" s="115"/>
      <c r="C10" s="116"/>
      <c r="D10" s="116"/>
      <c r="E10" s="117"/>
      <c r="F10" s="121">
        <v>51321010</v>
      </c>
      <c r="G10" s="114" t="s">
        <v>62</v>
      </c>
      <c r="H10" s="115"/>
      <c r="I10" s="116">
        <v>123243.54000000005</v>
      </c>
      <c r="J10" s="116">
        <v>17778.938821824686</v>
      </c>
      <c r="K10" s="117">
        <v>24556272</v>
      </c>
      <c r="L10" s="248">
        <f t="shared" si="0"/>
        <v>24556272</v>
      </c>
    </row>
    <row r="11" spans="1:13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.5">
      <c r="A12" s="1493" t="s">
        <v>299</v>
      </c>
      <c r="B12" s="1494"/>
      <c r="C12" s="124">
        <f>SUM(C4:C11)</f>
        <v>2057.7145689922154</v>
      </c>
      <c r="D12" s="124">
        <f>SUM(D4:D11)</f>
        <v>306.26787286042219</v>
      </c>
      <c r="E12" s="125">
        <f>SUM(E4:E11)</f>
        <v>399713</v>
      </c>
      <c r="F12" s="121">
        <v>52981010</v>
      </c>
      <c r="G12" s="1493" t="s">
        <v>299</v>
      </c>
      <c r="H12" s="1494"/>
      <c r="I12" s="124">
        <f>SUM(I4:I11)</f>
        <v>164707.19543100783</v>
      </c>
      <c r="J12" s="124">
        <f>SUM(J4:J11)</f>
        <v>23751.679771945885</v>
      </c>
      <c r="K12" s="125">
        <f>SUM(K4:K10)</f>
        <v>32805820</v>
      </c>
      <c r="L12" s="119"/>
    </row>
    <row r="13" spans="1:13" s="5" customFormat="1" ht="13.5">
      <c r="A13" s="126"/>
      <c r="B13" s="127"/>
      <c r="C13" s="128">
        <f>C12+I12</f>
        <v>166764.91000000003</v>
      </c>
      <c r="D13" s="128">
        <f>D12+J12</f>
        <v>24057.947644806307</v>
      </c>
      <c r="E13" s="250">
        <f>E12+K12</f>
        <v>33205533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28271.531797748336</v>
      </c>
      <c r="I14" s="137">
        <f>SUBTOTAL(9,I17:I62)</f>
        <v>166764.91000000006</v>
      </c>
      <c r="J14" s="137">
        <f>SUBTOTAL(9,J17:J62)</f>
        <v>24057.9476448063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232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2057.4259869682069</v>
      </c>
      <c r="L17" s="108">
        <v>306.26787286042583</v>
      </c>
      <c r="M17" s="106"/>
      <c r="N17" s="45">
        <v>306.26787286042219</v>
      </c>
    </row>
    <row r="18" spans="1:14" s="5" customFormat="1" ht="13.5" customHeight="1">
      <c r="A18" s="57">
        <v>44818</v>
      </c>
      <c r="B18" s="181" t="s">
        <v>232</v>
      </c>
      <c r="C18" s="182"/>
      <c r="D18" s="60">
        <v>1</v>
      </c>
      <c r="E18" s="59"/>
      <c r="F18" s="61"/>
      <c r="G18" s="183">
        <v>196035.17</v>
      </c>
      <c r="H18" s="78">
        <v>28264.400000000001</v>
      </c>
      <c r="I18" s="184"/>
      <c r="J18" s="102"/>
      <c r="K18" s="83">
        <f t="shared" ref="K18:L20" si="1">K17+G18-I18</f>
        <v>198092.59598696823</v>
      </c>
      <c r="L18" s="62">
        <f t="shared" si="1"/>
        <v>28570.667872860427</v>
      </c>
      <c r="M18" s="58" t="s">
        <v>232</v>
      </c>
      <c r="N18" s="45"/>
    </row>
    <row r="19" spans="1:14" s="5" customFormat="1" ht="13.5" customHeight="1">
      <c r="A19" s="57">
        <v>44818</v>
      </c>
      <c r="B19" s="181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198092.59598696823</v>
      </c>
      <c r="L19" s="62">
        <f t="shared" si="1"/>
        <v>28544.667872860427</v>
      </c>
      <c r="M19" s="58"/>
      <c r="N19" s="45"/>
    </row>
    <row r="20" spans="1:14" s="5" customFormat="1" ht="13.5" customHeight="1">
      <c r="A20" s="254">
        <v>44823</v>
      </c>
      <c r="B20" s="255" t="s">
        <v>368</v>
      </c>
      <c r="C20" s="187"/>
      <c r="D20" s="188">
        <v>3</v>
      </c>
      <c r="E20" s="189" t="s">
        <v>359</v>
      </c>
      <c r="F20" s="190" t="s">
        <v>360</v>
      </c>
      <c r="G20" s="191"/>
      <c r="H20" s="192"/>
      <c r="I20" s="193">
        <f>J20*'통장내역(환율표)'!$D$41</f>
        <v>2057.7145689922154</v>
      </c>
      <c r="J20" s="194">
        <v>306.26787286042219</v>
      </c>
      <c r="K20" s="195">
        <f t="shared" si="1"/>
        <v>196034.88141797602</v>
      </c>
      <c r="L20" s="196">
        <f t="shared" si="1"/>
        <v>28238.400000000005</v>
      </c>
      <c r="M20" s="197" t="s">
        <v>304</v>
      </c>
      <c r="N20" s="45">
        <f>N17-J20+H20</f>
        <v>0</v>
      </c>
    </row>
    <row r="21" spans="1:14" s="5" customFormat="1" ht="13.5" customHeight="1">
      <c r="A21" s="254">
        <v>44823</v>
      </c>
      <c r="B21" s="255" t="s">
        <v>369</v>
      </c>
      <c r="C21" s="187"/>
      <c r="D21" s="188">
        <v>3</v>
      </c>
      <c r="E21" s="189" t="s">
        <v>75</v>
      </c>
      <c r="F21" s="190" t="s">
        <v>360</v>
      </c>
      <c r="G21" s="191"/>
      <c r="H21" s="192"/>
      <c r="I21" s="193">
        <f>19440-I20</f>
        <v>17382.285431007786</v>
      </c>
      <c r="J21" s="86">
        <f>I21/'통장내역(환율표)'!$D$46</f>
        <v>2503.8768753329837</v>
      </c>
      <c r="K21" s="195">
        <f t="shared" ref="K21:K62" si="2">K20+G21-I21</f>
        <v>178652.59598696823</v>
      </c>
      <c r="L21" s="196">
        <f t="shared" ref="L21:L62" si="3">L20+H21-J21</f>
        <v>25734.523124667023</v>
      </c>
      <c r="M21" s="197"/>
      <c r="N21" s="45">
        <f>28238.4-J21+H21</f>
        <v>25734.523124667019</v>
      </c>
    </row>
    <row r="22" spans="1:14" s="5" customFormat="1" ht="13.5" customHeight="1">
      <c r="A22" s="36">
        <v>44823</v>
      </c>
      <c r="B22" s="247" t="s">
        <v>370</v>
      </c>
      <c r="C22" s="160"/>
      <c r="D22" s="37">
        <v>3</v>
      </c>
      <c r="E22" s="33" t="s">
        <v>371</v>
      </c>
      <c r="F22" s="35"/>
      <c r="G22" s="103"/>
      <c r="H22" s="77"/>
      <c r="I22" s="177">
        <v>7.2</v>
      </c>
      <c r="J22" s="86">
        <f>I22/'통장내역(환율표)'!$D$46</f>
        <v>1.0371428759441483</v>
      </c>
      <c r="K22" s="82">
        <f t="shared" si="2"/>
        <v>178645.39598696821</v>
      </c>
      <c r="L22" s="38">
        <f t="shared" si="3"/>
        <v>25733.48598179108</v>
      </c>
      <c r="M22" s="34"/>
      <c r="N22" s="45">
        <f>N21-J22+H22</f>
        <v>25733.485981791076</v>
      </c>
    </row>
    <row r="23" spans="1:14" s="5" customFormat="1" ht="13.5" customHeight="1">
      <c r="A23" s="46">
        <v>44825</v>
      </c>
      <c r="B23" s="256" t="s">
        <v>372</v>
      </c>
      <c r="C23" s="257"/>
      <c r="D23" s="48"/>
      <c r="E23" s="47" t="s">
        <v>379</v>
      </c>
      <c r="F23" s="49"/>
      <c r="G23" s="54">
        <v>49.51</v>
      </c>
      <c r="H23" s="76">
        <f>G23/'통장내역(환율표)'!$D$46</f>
        <v>7.131797748332608</v>
      </c>
      <c r="I23" s="94"/>
      <c r="J23" s="258">
        <f>I23/'통장내역(환율표)'!$D$46</f>
        <v>0</v>
      </c>
      <c r="K23" s="84">
        <f t="shared" si="2"/>
        <v>178694.90598696822</v>
      </c>
      <c r="L23" s="50">
        <f t="shared" si="3"/>
        <v>25740.617779539414</v>
      </c>
      <c r="M23" s="52"/>
      <c r="N23" s="45">
        <f t="shared" ref="N23:N62" si="4">N22-J23+H23</f>
        <v>25740.617779539411</v>
      </c>
    </row>
    <row r="24" spans="1:14" s="5" customFormat="1" ht="12.75" customHeight="1">
      <c r="A24" s="36">
        <v>44827</v>
      </c>
      <c r="B24" s="247" t="s">
        <v>373</v>
      </c>
      <c r="C24" s="160"/>
      <c r="D24" s="37">
        <v>2</v>
      </c>
      <c r="E24" s="33" t="s">
        <v>371</v>
      </c>
      <c r="F24" s="35"/>
      <c r="G24" s="103"/>
      <c r="H24" s="77"/>
      <c r="I24" s="177">
        <v>300</v>
      </c>
      <c r="J24" s="86">
        <f>I24/'통장내역(환율표)'!$D$46</f>
        <v>43.214286497672845</v>
      </c>
      <c r="K24" s="82">
        <f t="shared" si="2"/>
        <v>178394.90598696822</v>
      </c>
      <c r="L24" s="38">
        <f t="shared" si="3"/>
        <v>25697.40349304174</v>
      </c>
      <c r="M24" s="34" t="s">
        <v>374</v>
      </c>
      <c r="N24" s="45">
        <f t="shared" si="4"/>
        <v>25697.403493041737</v>
      </c>
    </row>
    <row r="25" spans="1:14" s="5" customFormat="1" ht="13.5" customHeight="1">
      <c r="A25" s="36">
        <v>44827</v>
      </c>
      <c r="B25" s="247" t="s">
        <v>367</v>
      </c>
      <c r="C25" s="160"/>
      <c r="D25" s="37">
        <v>2</v>
      </c>
      <c r="E25" s="33" t="s">
        <v>371</v>
      </c>
      <c r="F25" s="35"/>
      <c r="G25" s="103"/>
      <c r="H25" s="77"/>
      <c r="I25" s="177">
        <v>7572.43</v>
      </c>
      <c r="J25" s="86">
        <f>I25/'통장내역(환율표)'!$D$46</f>
        <v>1090.7905316785759</v>
      </c>
      <c r="K25" s="82">
        <f t="shared" si="2"/>
        <v>170822.47598696823</v>
      </c>
      <c r="L25" s="38">
        <f t="shared" si="3"/>
        <v>24606.612961363164</v>
      </c>
      <c r="M25" s="34"/>
      <c r="N25" s="45">
        <f t="shared" si="4"/>
        <v>24606.61296136316</v>
      </c>
    </row>
    <row r="26" spans="1:14" s="5" customFormat="1" ht="13.5" customHeight="1">
      <c r="A26" s="36">
        <v>44827</v>
      </c>
      <c r="B26" s="247" t="s">
        <v>375</v>
      </c>
      <c r="C26" s="160"/>
      <c r="D26" s="37">
        <v>2</v>
      </c>
      <c r="E26" s="33" t="s">
        <v>371</v>
      </c>
      <c r="F26" s="35"/>
      <c r="G26" s="103"/>
      <c r="H26" s="77"/>
      <c r="I26" s="177">
        <v>5104.59</v>
      </c>
      <c r="J26" s="86">
        <f>I26/'통장내역(환율표)'!$D$46</f>
        <v>735.30404904385273</v>
      </c>
      <c r="K26" s="82">
        <f t="shared" si="2"/>
        <v>165717.88598696823</v>
      </c>
      <c r="L26" s="38">
        <f t="shared" si="3"/>
        <v>23871.308912319309</v>
      </c>
      <c r="M26" s="34" t="s">
        <v>374</v>
      </c>
      <c r="N26" s="45">
        <f t="shared" si="4"/>
        <v>23871.308912319306</v>
      </c>
    </row>
    <row r="27" spans="1:14" s="5" customFormat="1" ht="13.5" customHeight="1">
      <c r="A27" s="36">
        <v>44827</v>
      </c>
      <c r="B27" s="247" t="s">
        <v>380</v>
      </c>
      <c r="C27" s="160"/>
      <c r="D27" s="37">
        <v>2</v>
      </c>
      <c r="E27" s="33" t="s">
        <v>371</v>
      </c>
      <c r="F27" s="35"/>
      <c r="G27" s="103"/>
      <c r="H27" s="77"/>
      <c r="I27" s="177">
        <v>13500</v>
      </c>
      <c r="J27" s="86">
        <f>I27/'통장내역(환율표)'!$D$46</f>
        <v>1944.6428923952778</v>
      </c>
      <c r="K27" s="82">
        <f t="shared" si="2"/>
        <v>152217.88598696823</v>
      </c>
      <c r="L27" s="38">
        <f t="shared" si="3"/>
        <v>21926.666019924032</v>
      </c>
      <c r="M27" s="34" t="s">
        <v>374</v>
      </c>
      <c r="N27" s="45">
        <f t="shared" si="4"/>
        <v>21926.666019924029</v>
      </c>
    </row>
    <row r="28" spans="1:14" s="5" customFormat="1" ht="13.5" customHeight="1">
      <c r="A28" s="36">
        <v>44827</v>
      </c>
      <c r="B28" s="247" t="s">
        <v>376</v>
      </c>
      <c r="C28" s="160"/>
      <c r="D28" s="37">
        <v>2</v>
      </c>
      <c r="E28" s="33" t="s">
        <v>371</v>
      </c>
      <c r="F28" s="35"/>
      <c r="G28" s="103"/>
      <c r="H28" s="77"/>
      <c r="I28" s="177">
        <v>20000</v>
      </c>
      <c r="J28" s="86">
        <f>I28/'통장내역(환율표)'!$D$46</f>
        <v>2880.9524331781895</v>
      </c>
      <c r="K28" s="82">
        <f t="shared" si="2"/>
        <v>132217.88598696823</v>
      </c>
      <c r="L28" s="38">
        <f t="shared" si="3"/>
        <v>19045.713586745842</v>
      </c>
      <c r="M28" s="34" t="s">
        <v>374</v>
      </c>
      <c r="N28" s="45">
        <f t="shared" si="4"/>
        <v>19045.713586745838</v>
      </c>
    </row>
    <row r="29" spans="1:14" s="5" customFormat="1" ht="13.5" customHeight="1">
      <c r="A29" s="36">
        <v>44827</v>
      </c>
      <c r="B29" s="247" t="s">
        <v>373</v>
      </c>
      <c r="C29" s="160"/>
      <c r="D29" s="37">
        <v>2</v>
      </c>
      <c r="E29" s="33" t="s">
        <v>371</v>
      </c>
      <c r="F29" s="35"/>
      <c r="G29" s="103"/>
      <c r="H29" s="77"/>
      <c r="I29" s="177">
        <v>300</v>
      </c>
      <c r="J29" s="86">
        <f>I29/'통장내역(환율표)'!$D$46</f>
        <v>43.214286497672845</v>
      </c>
      <c r="K29" s="82">
        <f t="shared" si="2"/>
        <v>131917.88598696823</v>
      </c>
      <c r="L29" s="38">
        <f t="shared" si="3"/>
        <v>19002.499300248168</v>
      </c>
      <c r="M29" s="34" t="s">
        <v>377</v>
      </c>
      <c r="N29" s="45">
        <f t="shared" si="4"/>
        <v>19002.499300248164</v>
      </c>
    </row>
    <row r="30" spans="1:14" s="5" customFormat="1" ht="13.5" customHeight="1">
      <c r="A30" s="36">
        <v>44827</v>
      </c>
      <c r="B30" s="247" t="s">
        <v>367</v>
      </c>
      <c r="C30" s="160"/>
      <c r="D30" s="37">
        <v>2</v>
      </c>
      <c r="E30" s="33" t="s">
        <v>371</v>
      </c>
      <c r="F30" s="35"/>
      <c r="G30" s="103"/>
      <c r="H30" s="77"/>
      <c r="I30" s="177">
        <v>4197.43</v>
      </c>
      <c r="J30" s="86">
        <f>I30/'통장내역(환율표)'!$D$46</f>
        <v>604.6298085797564</v>
      </c>
      <c r="K30" s="82">
        <f t="shared" si="2"/>
        <v>127720.45598696824</v>
      </c>
      <c r="L30" s="38">
        <f t="shared" si="3"/>
        <v>18397.869491668411</v>
      </c>
      <c r="M30" s="34" t="s">
        <v>377</v>
      </c>
      <c r="N30" s="45">
        <f t="shared" si="4"/>
        <v>18397.869491668407</v>
      </c>
    </row>
    <row r="31" spans="1:14" s="5" customFormat="1" ht="13.5" customHeight="1">
      <c r="A31" s="36">
        <v>44827</v>
      </c>
      <c r="B31" s="247" t="s">
        <v>375</v>
      </c>
      <c r="C31" s="160"/>
      <c r="D31" s="37">
        <v>2</v>
      </c>
      <c r="E31" s="33" t="s">
        <v>371</v>
      </c>
      <c r="F31" s="35"/>
      <c r="G31" s="103"/>
      <c r="H31" s="77"/>
      <c r="I31" s="177">
        <v>2114.3000000000002</v>
      </c>
      <c r="J31" s="86">
        <f>I31/'통장내역(환율표)'!$D$46</f>
        <v>304.55988647343236</v>
      </c>
      <c r="K31" s="82">
        <f t="shared" si="2"/>
        <v>125606.15598696824</v>
      </c>
      <c r="L31" s="38">
        <f t="shared" si="3"/>
        <v>18093.30960519498</v>
      </c>
      <c r="M31" s="34" t="s">
        <v>377</v>
      </c>
      <c r="N31" s="45">
        <f t="shared" si="4"/>
        <v>18093.309605194976</v>
      </c>
    </row>
    <row r="32" spans="1:14" s="5" customFormat="1" ht="13.5" customHeight="1">
      <c r="A32" s="36">
        <v>44827</v>
      </c>
      <c r="B32" s="247" t="s">
        <v>345</v>
      </c>
      <c r="C32" s="160"/>
      <c r="D32" s="37">
        <v>2</v>
      </c>
      <c r="E32" s="33" t="s">
        <v>342</v>
      </c>
      <c r="F32" s="35"/>
      <c r="G32" s="103"/>
      <c r="H32" s="77"/>
      <c r="I32" s="177">
        <v>13500</v>
      </c>
      <c r="J32" s="86">
        <f>I32/'통장내역(환율표)'!$D$46</f>
        <v>1944.6428923952778</v>
      </c>
      <c r="K32" s="82">
        <f t="shared" si="2"/>
        <v>112106.15598696824</v>
      </c>
      <c r="L32" s="38">
        <f t="shared" si="3"/>
        <v>16148.666712799703</v>
      </c>
      <c r="M32" s="34" t="s">
        <v>211</v>
      </c>
      <c r="N32" s="45">
        <f t="shared" si="4"/>
        <v>16148.666712799699</v>
      </c>
    </row>
    <row r="33" spans="1:14" s="5" customFormat="1" ht="13.5" customHeight="1">
      <c r="A33" s="36">
        <v>44827</v>
      </c>
      <c r="B33" s="247" t="s">
        <v>376</v>
      </c>
      <c r="C33" s="160"/>
      <c r="D33" s="37">
        <v>2</v>
      </c>
      <c r="E33" s="33" t="s">
        <v>371</v>
      </c>
      <c r="F33" s="35"/>
      <c r="G33" s="103"/>
      <c r="H33" s="77"/>
      <c r="I33" s="177">
        <v>14000</v>
      </c>
      <c r="J33" s="86">
        <f>I33/'통장내역(환율표)'!$D$46</f>
        <v>2016.6667032247326</v>
      </c>
      <c r="K33" s="82">
        <f t="shared" si="2"/>
        <v>98106.155986968239</v>
      </c>
      <c r="L33" s="38">
        <f t="shared" si="3"/>
        <v>14132.000009574969</v>
      </c>
      <c r="M33" s="34" t="s">
        <v>377</v>
      </c>
      <c r="N33" s="45">
        <f t="shared" si="4"/>
        <v>14132.000009574966</v>
      </c>
    </row>
    <row r="34" spans="1:14" s="5" customFormat="1" ht="13.5" customHeight="1">
      <c r="A34" s="36">
        <v>44827</v>
      </c>
      <c r="B34" s="247" t="s">
        <v>373</v>
      </c>
      <c r="C34" s="160"/>
      <c r="D34" s="37">
        <v>2</v>
      </c>
      <c r="E34" s="33" t="s">
        <v>371</v>
      </c>
      <c r="F34" s="35"/>
      <c r="G34" s="103"/>
      <c r="H34" s="77"/>
      <c r="I34" s="177">
        <v>300</v>
      </c>
      <c r="J34" s="86">
        <f>I34/'통장내역(환율표)'!$D$46</f>
        <v>43.214286497672845</v>
      </c>
      <c r="K34" s="82">
        <f t="shared" si="2"/>
        <v>97806.155986968239</v>
      </c>
      <c r="L34" s="38">
        <f t="shared" si="3"/>
        <v>14088.785723077297</v>
      </c>
      <c r="M34" s="34" t="s">
        <v>378</v>
      </c>
      <c r="N34" s="45">
        <f t="shared" si="4"/>
        <v>14088.785723077293</v>
      </c>
    </row>
    <row r="35" spans="1:14" s="5" customFormat="1" ht="13.5" customHeight="1">
      <c r="A35" s="36">
        <v>44827</v>
      </c>
      <c r="B35" s="247" t="s">
        <v>343</v>
      </c>
      <c r="C35" s="160"/>
      <c r="D35" s="37">
        <v>2</v>
      </c>
      <c r="E35" s="33" t="s">
        <v>342</v>
      </c>
      <c r="F35" s="35"/>
      <c r="G35" s="103"/>
      <c r="H35" s="77"/>
      <c r="I35" s="177">
        <v>8295.14</v>
      </c>
      <c r="J35" s="86">
        <f>I35/'통장내역(환율표)'!$D$46</f>
        <v>1194.8951883276864</v>
      </c>
      <c r="K35" s="82">
        <f t="shared" si="2"/>
        <v>89511.015986968239</v>
      </c>
      <c r="L35" s="38">
        <f t="shared" si="3"/>
        <v>12893.890534749611</v>
      </c>
      <c r="M35" s="34" t="s">
        <v>287</v>
      </c>
      <c r="N35" s="45">
        <f t="shared" si="4"/>
        <v>12893.890534749607</v>
      </c>
    </row>
    <row r="36" spans="1:14" s="5" customFormat="1" ht="13.5" customHeight="1">
      <c r="A36" s="36">
        <v>44827</v>
      </c>
      <c r="B36" s="247" t="s">
        <v>344</v>
      </c>
      <c r="C36" s="160"/>
      <c r="D36" s="37">
        <v>2</v>
      </c>
      <c r="E36" s="33" t="s">
        <v>342</v>
      </c>
      <c r="F36" s="35"/>
      <c r="G36" s="103"/>
      <c r="H36" s="77"/>
      <c r="I36" s="177">
        <v>1493.42</v>
      </c>
      <c r="J36" s="86">
        <f>I36/'통장내역(환율표)'!$D$46</f>
        <v>215.1235991378486</v>
      </c>
      <c r="K36" s="82">
        <f t="shared" si="2"/>
        <v>88017.595986968241</v>
      </c>
      <c r="L36" s="38">
        <f t="shared" si="3"/>
        <v>12678.766935611762</v>
      </c>
      <c r="M36" s="34" t="s">
        <v>287</v>
      </c>
      <c r="N36" s="45">
        <f t="shared" si="4"/>
        <v>12678.766935611759</v>
      </c>
    </row>
    <row r="37" spans="1:14" s="5" customFormat="1" ht="13.5" customHeight="1">
      <c r="A37" s="36">
        <v>44827</v>
      </c>
      <c r="B37" s="247" t="s">
        <v>345</v>
      </c>
      <c r="C37" s="160"/>
      <c r="D37" s="37">
        <v>2</v>
      </c>
      <c r="E37" s="33" t="s">
        <v>342</v>
      </c>
      <c r="F37" s="35"/>
      <c r="G37" s="103"/>
      <c r="H37" s="77"/>
      <c r="I37" s="177">
        <v>20229.169999999998</v>
      </c>
      <c r="J37" s="86">
        <f>I37/'통장내역(환율표)'!$D$46</f>
        <v>2913.9638266337615</v>
      </c>
      <c r="K37" s="82">
        <f t="shared" si="2"/>
        <v>67788.425986968243</v>
      </c>
      <c r="L37" s="38">
        <f t="shared" si="3"/>
        <v>9764.8031089780015</v>
      </c>
      <c r="M37" s="34" t="s">
        <v>287</v>
      </c>
      <c r="N37" s="45">
        <f t="shared" si="4"/>
        <v>9764.8031089779979</v>
      </c>
    </row>
    <row r="38" spans="1:14" s="5" customFormat="1" ht="13.5" customHeight="1">
      <c r="A38" s="36">
        <v>44827</v>
      </c>
      <c r="B38" s="247" t="s">
        <v>340</v>
      </c>
      <c r="C38" s="160"/>
      <c r="D38" s="37">
        <v>2</v>
      </c>
      <c r="E38" s="33" t="s">
        <v>342</v>
      </c>
      <c r="F38" s="35"/>
      <c r="G38" s="103"/>
      <c r="H38" s="77"/>
      <c r="I38" s="177">
        <v>12</v>
      </c>
      <c r="J38" s="86">
        <f>I38/'통장내역(환율표)'!$D$46</f>
        <v>1.7285714599069137</v>
      </c>
      <c r="K38" s="82">
        <f t="shared" si="2"/>
        <v>67776.425986968243</v>
      </c>
      <c r="L38" s="38">
        <f t="shared" si="3"/>
        <v>9763.0745375180941</v>
      </c>
      <c r="M38" s="34"/>
      <c r="N38" s="45">
        <f t="shared" si="4"/>
        <v>9763.0745375180904</v>
      </c>
    </row>
    <row r="39" spans="1:14" s="5" customFormat="1" ht="13.5" customHeight="1">
      <c r="A39" s="36">
        <v>44827</v>
      </c>
      <c r="B39" s="247" t="s">
        <v>346</v>
      </c>
      <c r="C39" s="160"/>
      <c r="D39" s="37">
        <v>4</v>
      </c>
      <c r="E39" s="33" t="s">
        <v>359</v>
      </c>
      <c r="F39" s="35" t="s">
        <v>361</v>
      </c>
      <c r="G39" s="103"/>
      <c r="H39" s="77"/>
      <c r="I39" s="177">
        <v>10500</v>
      </c>
      <c r="J39" s="86">
        <f>I39/'통장내역(환율표)'!$D$46</f>
        <v>1512.5000274185495</v>
      </c>
      <c r="K39" s="82">
        <f t="shared" si="2"/>
        <v>57276.425986968243</v>
      </c>
      <c r="L39" s="38">
        <f t="shared" si="3"/>
        <v>8250.5745100995446</v>
      </c>
      <c r="M39" s="34" t="s">
        <v>305</v>
      </c>
      <c r="N39" s="45">
        <f t="shared" si="4"/>
        <v>8250.5745100995409</v>
      </c>
    </row>
    <row r="40" spans="1:14" s="5" customFormat="1" ht="13.5" customHeight="1">
      <c r="A40" s="36">
        <v>44827</v>
      </c>
      <c r="B40" s="247" t="s">
        <v>347</v>
      </c>
      <c r="C40" s="160"/>
      <c r="D40" s="37">
        <v>4</v>
      </c>
      <c r="E40" s="33" t="s">
        <v>342</v>
      </c>
      <c r="F40" s="35"/>
      <c r="G40" s="103"/>
      <c r="H40" s="77"/>
      <c r="I40" s="177">
        <v>6000</v>
      </c>
      <c r="J40" s="86">
        <f>I40/'통장내역(환율표)'!$D$46</f>
        <v>864.28572995345689</v>
      </c>
      <c r="K40" s="82">
        <f t="shared" si="2"/>
        <v>51276.425986968243</v>
      </c>
      <c r="L40" s="38">
        <f t="shared" si="3"/>
        <v>7386.2887801460874</v>
      </c>
      <c r="M40" s="34"/>
      <c r="N40" s="45">
        <f t="shared" si="4"/>
        <v>7386.2887801460838</v>
      </c>
    </row>
    <row r="41" spans="1:14" s="5" customFormat="1" ht="13.5" customHeight="1">
      <c r="A41" s="36">
        <v>44827</v>
      </c>
      <c r="B41" s="247" t="s">
        <v>348</v>
      </c>
      <c r="C41" s="160"/>
      <c r="D41" s="37">
        <v>4</v>
      </c>
      <c r="E41" s="33" t="s">
        <v>362</v>
      </c>
      <c r="F41" s="35" t="s">
        <v>355</v>
      </c>
      <c r="G41" s="103"/>
      <c r="H41" s="77"/>
      <c r="I41" s="177">
        <v>900</v>
      </c>
      <c r="J41" s="86">
        <f>I41/'통장내역(환율표)'!$D$46</f>
        <v>129.64285949301853</v>
      </c>
      <c r="K41" s="82">
        <f t="shared" si="2"/>
        <v>50376.425986968243</v>
      </c>
      <c r="L41" s="38">
        <f t="shared" si="3"/>
        <v>7256.645920653069</v>
      </c>
      <c r="M41" s="34"/>
      <c r="N41" s="45">
        <f t="shared" si="4"/>
        <v>7256.6459206530653</v>
      </c>
    </row>
    <row r="42" spans="1:14" s="5" customFormat="1" ht="13.5" customHeight="1">
      <c r="A42" s="36">
        <v>44827</v>
      </c>
      <c r="B42" s="247" t="s">
        <v>349</v>
      </c>
      <c r="C42" s="160"/>
      <c r="D42" s="37">
        <v>4</v>
      </c>
      <c r="E42" s="33" t="s">
        <v>294</v>
      </c>
      <c r="F42" s="35" t="s">
        <v>322</v>
      </c>
      <c r="G42" s="103"/>
      <c r="H42" s="77"/>
      <c r="I42" s="177">
        <v>2286.83</v>
      </c>
      <c r="J42" s="86">
        <f>I42/'통장내역(환율표)'!$D$46</f>
        <v>329.41242263824392</v>
      </c>
      <c r="K42" s="82">
        <f t="shared" si="2"/>
        <v>48089.595986968241</v>
      </c>
      <c r="L42" s="38">
        <f t="shared" si="3"/>
        <v>6927.2334980148253</v>
      </c>
      <c r="M42" s="34"/>
      <c r="N42" s="45">
        <f t="shared" si="4"/>
        <v>6927.2334980148216</v>
      </c>
    </row>
    <row r="43" spans="1:14" s="5" customFormat="1" ht="13.5" customHeight="1">
      <c r="A43" s="36">
        <v>44827</v>
      </c>
      <c r="B43" s="247" t="s">
        <v>350</v>
      </c>
      <c r="C43" s="160"/>
      <c r="D43" s="37">
        <v>4</v>
      </c>
      <c r="E43" s="33" t="s">
        <v>294</v>
      </c>
      <c r="F43" s="35" t="s">
        <v>322</v>
      </c>
      <c r="G43" s="103"/>
      <c r="H43" s="77"/>
      <c r="I43" s="177">
        <v>36</v>
      </c>
      <c r="J43" s="86">
        <f>I43/'통장내역(환율표)'!$D$46</f>
        <v>5.185714379720741</v>
      </c>
      <c r="K43" s="82">
        <f t="shared" si="2"/>
        <v>48053.595986968241</v>
      </c>
      <c r="L43" s="38">
        <f t="shared" si="3"/>
        <v>6922.0477836351047</v>
      </c>
      <c r="M43" s="34"/>
      <c r="N43" s="45">
        <f t="shared" si="4"/>
        <v>6922.047783635101</v>
      </c>
    </row>
    <row r="44" spans="1:14" s="5" customFormat="1" ht="13.5" customHeight="1">
      <c r="A44" s="36">
        <v>44827</v>
      </c>
      <c r="B44" s="247" t="s">
        <v>351</v>
      </c>
      <c r="C44" s="160"/>
      <c r="D44" s="37">
        <v>4</v>
      </c>
      <c r="E44" s="33" t="s">
        <v>342</v>
      </c>
      <c r="F44" s="35"/>
      <c r="G44" s="103"/>
      <c r="H44" s="77"/>
      <c r="I44" s="177">
        <v>300</v>
      </c>
      <c r="J44" s="86">
        <f>I44/'통장내역(환율표)'!$D$46</f>
        <v>43.214286497672845</v>
      </c>
      <c r="K44" s="82">
        <f t="shared" si="2"/>
        <v>47753.595986968241</v>
      </c>
      <c r="L44" s="38">
        <f t="shared" si="3"/>
        <v>6878.8334971374316</v>
      </c>
      <c r="M44" s="34"/>
      <c r="N44" s="45">
        <f t="shared" si="4"/>
        <v>6878.8334971374279</v>
      </c>
    </row>
    <row r="45" spans="1:14" s="5" customFormat="1" ht="13.5" customHeight="1">
      <c r="A45" s="36">
        <v>44827</v>
      </c>
      <c r="B45" s="247" t="s">
        <v>340</v>
      </c>
      <c r="C45" s="160"/>
      <c r="D45" s="37">
        <v>4</v>
      </c>
      <c r="E45" s="33" t="s">
        <v>342</v>
      </c>
      <c r="F45" s="35"/>
      <c r="G45" s="103"/>
      <c r="H45" s="77"/>
      <c r="I45" s="177">
        <v>7.2</v>
      </c>
      <c r="J45" s="86">
        <f>I45/'통장내역(환율표)'!$D$46</f>
        <v>1.0371428759441483</v>
      </c>
      <c r="K45" s="82">
        <f t="shared" si="2"/>
        <v>47746.395986968244</v>
      </c>
      <c r="L45" s="38">
        <f t="shared" si="3"/>
        <v>6877.7963542614871</v>
      </c>
      <c r="M45" s="34"/>
      <c r="N45" s="45">
        <f t="shared" si="4"/>
        <v>6877.7963542614834</v>
      </c>
    </row>
    <row r="46" spans="1:14" s="5" customFormat="1" ht="13.5" customHeight="1">
      <c r="A46" s="36">
        <v>44827</v>
      </c>
      <c r="B46" s="247" t="s">
        <v>352</v>
      </c>
      <c r="C46" s="160"/>
      <c r="D46" s="37">
        <v>5</v>
      </c>
      <c r="E46" s="33" t="s">
        <v>342</v>
      </c>
      <c r="F46" s="35"/>
      <c r="G46" s="103"/>
      <c r="H46" s="77"/>
      <c r="I46" s="177">
        <v>1000</v>
      </c>
      <c r="J46" s="86">
        <f>I46/'통장내역(환율표)'!$D$46</f>
        <v>144.04762165890946</v>
      </c>
      <c r="K46" s="82">
        <f t="shared" si="2"/>
        <v>46746.395986968244</v>
      </c>
      <c r="L46" s="38">
        <f t="shared" si="3"/>
        <v>6733.7487326025775</v>
      </c>
      <c r="M46" s="34" t="s">
        <v>306</v>
      </c>
      <c r="N46" s="45">
        <f t="shared" si="4"/>
        <v>6733.7487326025739</v>
      </c>
    </row>
    <row r="47" spans="1:14" s="5" customFormat="1" ht="13.5" customHeight="1">
      <c r="A47" s="36">
        <v>44827</v>
      </c>
      <c r="B47" s="247" t="s">
        <v>340</v>
      </c>
      <c r="C47" s="160"/>
      <c r="D47" s="37">
        <v>5</v>
      </c>
      <c r="E47" s="33" t="s">
        <v>342</v>
      </c>
      <c r="F47" s="35"/>
      <c r="G47" s="103"/>
      <c r="H47" s="77"/>
      <c r="I47" s="177">
        <v>3.6</v>
      </c>
      <c r="J47" s="86">
        <f>I47/'통장내역(환율표)'!$D$46</f>
        <v>0.51857143797207417</v>
      </c>
      <c r="K47" s="82">
        <f t="shared" si="2"/>
        <v>46742.795986968245</v>
      </c>
      <c r="L47" s="38">
        <f t="shared" si="3"/>
        <v>6733.2301611646053</v>
      </c>
      <c r="M47" s="34"/>
      <c r="N47" s="45">
        <f t="shared" si="4"/>
        <v>6733.2301611646017</v>
      </c>
    </row>
    <row r="48" spans="1:14" s="5" customFormat="1" ht="13.5" customHeight="1">
      <c r="A48" s="36">
        <v>44827</v>
      </c>
      <c r="B48" s="247" t="s">
        <v>353</v>
      </c>
      <c r="C48" s="160"/>
      <c r="D48" s="37">
        <v>6</v>
      </c>
      <c r="E48" s="33" t="s">
        <v>342</v>
      </c>
      <c r="F48" s="35"/>
      <c r="G48" s="103"/>
      <c r="H48" s="77"/>
      <c r="I48" s="177">
        <v>3097.26</v>
      </c>
      <c r="J48" s="86">
        <f>I48/'통장내역(환율표)'!$D$46</f>
        <v>446.15293665927402</v>
      </c>
      <c r="K48" s="82">
        <f t="shared" si="2"/>
        <v>43645.535986968243</v>
      </c>
      <c r="L48" s="38">
        <f t="shared" si="3"/>
        <v>6287.0772245053313</v>
      </c>
      <c r="M48" s="34" t="s">
        <v>337</v>
      </c>
      <c r="N48" s="45">
        <f t="shared" si="4"/>
        <v>6287.0772245053276</v>
      </c>
    </row>
    <row r="49" spans="1:14" s="5" customFormat="1" ht="13.5" customHeight="1">
      <c r="A49" s="36">
        <v>44827</v>
      </c>
      <c r="B49" s="247" t="s">
        <v>340</v>
      </c>
      <c r="C49" s="160"/>
      <c r="D49" s="37">
        <v>6</v>
      </c>
      <c r="E49" s="33" t="s">
        <v>342</v>
      </c>
      <c r="F49" s="35"/>
      <c r="G49" s="103"/>
      <c r="H49" s="77"/>
      <c r="I49" s="177">
        <v>3.6</v>
      </c>
      <c r="J49" s="86">
        <f>I49/'통장내역(환율표)'!$D$46</f>
        <v>0.51857143797207417</v>
      </c>
      <c r="K49" s="82">
        <f t="shared" si="2"/>
        <v>43641.935986968245</v>
      </c>
      <c r="L49" s="38">
        <f t="shared" si="3"/>
        <v>6286.558653067359</v>
      </c>
      <c r="M49" s="34"/>
      <c r="N49" s="45">
        <f t="shared" si="4"/>
        <v>6286.5586530673554</v>
      </c>
    </row>
    <row r="50" spans="1:14" s="5" customFormat="1" ht="13.5" customHeight="1">
      <c r="A50" s="36">
        <v>44827</v>
      </c>
      <c r="B50" s="247" t="s">
        <v>356</v>
      </c>
      <c r="C50" s="160"/>
      <c r="D50" s="37">
        <v>9</v>
      </c>
      <c r="E50" s="33" t="s">
        <v>342</v>
      </c>
      <c r="F50" s="35"/>
      <c r="G50" s="103"/>
      <c r="H50" s="77"/>
      <c r="I50" s="177">
        <v>1026</v>
      </c>
      <c r="J50" s="86">
        <f>I50/'통장내역(환율표)'!$D$46</f>
        <v>147.79285982204112</v>
      </c>
      <c r="K50" s="82">
        <f t="shared" si="2"/>
        <v>42615.935986968245</v>
      </c>
      <c r="L50" s="38">
        <f t="shared" si="3"/>
        <v>6138.7657932453176</v>
      </c>
      <c r="M50" s="34"/>
      <c r="N50" s="45">
        <f t="shared" si="4"/>
        <v>6138.7657932453139</v>
      </c>
    </row>
    <row r="51" spans="1:14" s="5" customFormat="1" ht="13.5" customHeight="1">
      <c r="A51" s="36">
        <v>44827</v>
      </c>
      <c r="B51" s="247" t="s">
        <v>357</v>
      </c>
      <c r="C51" s="160"/>
      <c r="D51" s="37">
        <v>9</v>
      </c>
      <c r="E51" s="33" t="s">
        <v>342</v>
      </c>
      <c r="F51" s="35"/>
      <c r="G51" s="103"/>
      <c r="H51" s="77"/>
      <c r="I51" s="177">
        <v>642.6</v>
      </c>
      <c r="J51" s="86">
        <f>I51/'통장내역(환율표)'!$D$46</f>
        <v>92.565001678015236</v>
      </c>
      <c r="K51" s="82">
        <f t="shared" si="2"/>
        <v>41973.335986968246</v>
      </c>
      <c r="L51" s="38">
        <f t="shared" si="3"/>
        <v>6046.2007915673021</v>
      </c>
      <c r="M51" s="34"/>
      <c r="N51" s="45">
        <f t="shared" si="4"/>
        <v>6046.2007915672984</v>
      </c>
    </row>
    <row r="52" spans="1:14" s="5" customFormat="1" ht="13.5" customHeight="1">
      <c r="A52" s="36">
        <v>44827</v>
      </c>
      <c r="B52" s="247" t="s">
        <v>340</v>
      </c>
      <c r="C52" s="160"/>
      <c r="D52" s="37">
        <v>9</v>
      </c>
      <c r="E52" s="33" t="s">
        <v>342</v>
      </c>
      <c r="F52" s="35"/>
      <c r="G52" s="103"/>
      <c r="H52" s="77"/>
      <c r="I52" s="177">
        <v>3.6</v>
      </c>
      <c r="J52" s="86">
        <f>I52/'통장내역(환율표)'!$D$46</f>
        <v>0.51857143797207417</v>
      </c>
      <c r="K52" s="82">
        <f t="shared" si="2"/>
        <v>41969.735986968248</v>
      </c>
      <c r="L52" s="38">
        <f t="shared" si="3"/>
        <v>6045.6822201293298</v>
      </c>
      <c r="M52" s="34"/>
      <c r="N52" s="45">
        <f t="shared" si="4"/>
        <v>6045.6822201293262</v>
      </c>
    </row>
    <row r="53" spans="1:14" s="5" customFormat="1" ht="13.5" customHeight="1">
      <c r="A53" s="36">
        <v>44827</v>
      </c>
      <c r="B53" s="247" t="s">
        <v>354</v>
      </c>
      <c r="C53" s="160"/>
      <c r="D53" s="37">
        <v>8</v>
      </c>
      <c r="E53" s="33" t="s">
        <v>362</v>
      </c>
      <c r="F53" s="35" t="s">
        <v>355</v>
      </c>
      <c r="G53" s="103"/>
      <c r="H53" s="77"/>
      <c r="I53" s="177">
        <v>1717.04</v>
      </c>
      <c r="J53" s="86">
        <f>I53/'통장내역(환율표)'!$D$46</f>
        <v>247.33552829321391</v>
      </c>
      <c r="K53" s="82">
        <f t="shared" si="2"/>
        <v>40252.695986968247</v>
      </c>
      <c r="L53" s="38">
        <f t="shared" si="3"/>
        <v>5798.3466918361155</v>
      </c>
      <c r="M53" s="34"/>
      <c r="N53" s="45">
        <f t="shared" si="4"/>
        <v>5798.3466918361119</v>
      </c>
    </row>
    <row r="54" spans="1:14" s="5" customFormat="1" ht="13.5" customHeight="1">
      <c r="A54" s="36">
        <v>44827</v>
      </c>
      <c r="B54" s="247" t="s">
        <v>340</v>
      </c>
      <c r="C54" s="160"/>
      <c r="D54" s="37">
        <v>8</v>
      </c>
      <c r="E54" s="33" t="s">
        <v>342</v>
      </c>
      <c r="F54" s="35"/>
      <c r="G54" s="103"/>
      <c r="H54" s="77"/>
      <c r="I54" s="177">
        <v>3.6</v>
      </c>
      <c r="J54" s="86">
        <f>I54/'통장내역(환율표)'!$D$46</f>
        <v>0.51857143797207417</v>
      </c>
      <c r="K54" s="82">
        <f t="shared" si="2"/>
        <v>40249.095986968248</v>
      </c>
      <c r="L54" s="38">
        <f t="shared" si="3"/>
        <v>5797.8281203981433</v>
      </c>
      <c r="M54" s="34"/>
      <c r="N54" s="45">
        <f t="shared" si="4"/>
        <v>5797.8281203981396</v>
      </c>
    </row>
    <row r="55" spans="1:14" s="5" customFormat="1" ht="13.5" customHeight="1">
      <c r="A55" s="36">
        <v>44827</v>
      </c>
      <c r="B55" s="247" t="s">
        <v>358</v>
      </c>
      <c r="C55" s="160"/>
      <c r="D55" s="37">
        <v>10</v>
      </c>
      <c r="E55" s="33" t="s">
        <v>363</v>
      </c>
      <c r="F55" s="35" t="s">
        <v>364</v>
      </c>
      <c r="G55" s="103"/>
      <c r="H55" s="77"/>
      <c r="I55" s="177">
        <v>98.5</v>
      </c>
      <c r="J55" s="86">
        <f>I55/'통장내역(환율표)'!$D$46</f>
        <v>14.188690733402582</v>
      </c>
      <c r="K55" s="82">
        <f t="shared" si="2"/>
        <v>40150.595986968248</v>
      </c>
      <c r="L55" s="38">
        <f t="shared" si="3"/>
        <v>5783.6394296647404</v>
      </c>
      <c r="M55" s="34"/>
      <c r="N55" s="45">
        <f t="shared" si="4"/>
        <v>5783.6394296647368</v>
      </c>
    </row>
    <row r="56" spans="1:14" s="5" customFormat="1" ht="13.5" customHeight="1">
      <c r="A56" s="36">
        <v>44827</v>
      </c>
      <c r="B56" s="247" t="s">
        <v>340</v>
      </c>
      <c r="C56" s="160"/>
      <c r="D56" s="37">
        <v>10</v>
      </c>
      <c r="E56" s="33" t="s">
        <v>342</v>
      </c>
      <c r="F56" s="35"/>
      <c r="G56" s="103"/>
      <c r="H56" s="77"/>
      <c r="I56" s="177">
        <v>3.6</v>
      </c>
      <c r="J56" s="86">
        <f>I56/'통장내역(환율표)'!$D$46</f>
        <v>0.51857143797207417</v>
      </c>
      <c r="K56" s="82">
        <f t="shared" si="2"/>
        <v>40146.99598696825</v>
      </c>
      <c r="L56" s="38">
        <f t="shared" si="3"/>
        <v>5783.1208582267682</v>
      </c>
      <c r="M56" s="34"/>
      <c r="N56" s="45">
        <f t="shared" si="4"/>
        <v>5783.1208582267645</v>
      </c>
    </row>
    <row r="57" spans="1:14" s="5" customFormat="1" ht="13.5" customHeight="1">
      <c r="A57" s="36">
        <v>44827</v>
      </c>
      <c r="B57" s="247" t="s">
        <v>125</v>
      </c>
      <c r="C57" s="160"/>
      <c r="D57" s="37">
        <v>7</v>
      </c>
      <c r="E57" s="33" t="s">
        <v>238</v>
      </c>
      <c r="F57" s="35" t="s">
        <v>324</v>
      </c>
      <c r="G57" s="103"/>
      <c r="H57" s="77"/>
      <c r="I57" s="177">
        <v>8344</v>
      </c>
      <c r="J57" s="86">
        <f>I57/'통장내역(환율표)'!$D$46</f>
        <v>1201.9333551219406</v>
      </c>
      <c r="K57" s="82">
        <f t="shared" si="2"/>
        <v>31802.99598696825</v>
      </c>
      <c r="L57" s="38">
        <f t="shared" si="3"/>
        <v>4581.1875031048276</v>
      </c>
      <c r="M57" s="34" t="s">
        <v>11</v>
      </c>
      <c r="N57" s="45">
        <f t="shared" si="4"/>
        <v>4581.1875031048239</v>
      </c>
    </row>
    <row r="58" spans="1:14" s="5" customFormat="1" ht="13.5" customHeight="1">
      <c r="A58" s="36">
        <v>44827</v>
      </c>
      <c r="B58" s="247" t="s">
        <v>250</v>
      </c>
      <c r="C58" s="160"/>
      <c r="D58" s="37">
        <v>7</v>
      </c>
      <c r="E58" s="33" t="s">
        <v>107</v>
      </c>
      <c r="F58" s="35"/>
      <c r="G58" s="103"/>
      <c r="H58" s="77"/>
      <c r="I58" s="177">
        <v>3.6</v>
      </c>
      <c r="J58" s="86">
        <f>I58/'통장내역(환율표)'!$D$46</f>
        <v>0.51857143797207417</v>
      </c>
      <c r="K58" s="82">
        <f t="shared" si="2"/>
        <v>31799.395986968251</v>
      </c>
      <c r="L58" s="38">
        <f t="shared" si="3"/>
        <v>4580.6689316668553</v>
      </c>
      <c r="M58" s="34"/>
      <c r="N58" s="45">
        <f t="shared" si="4"/>
        <v>4580.6689316668517</v>
      </c>
    </row>
    <row r="59" spans="1:14" s="5" customFormat="1" ht="13.5" customHeight="1">
      <c r="A59" s="36">
        <v>44827</v>
      </c>
      <c r="B59" s="247" t="s">
        <v>339</v>
      </c>
      <c r="C59" s="160"/>
      <c r="D59" s="37">
        <v>11</v>
      </c>
      <c r="E59" s="33" t="s">
        <v>296</v>
      </c>
      <c r="F59" s="35" t="s">
        <v>327</v>
      </c>
      <c r="G59" s="103"/>
      <c r="H59" s="77"/>
      <c r="I59" s="177">
        <v>199</v>
      </c>
      <c r="J59" s="86">
        <f>I59/'통장내역(환율표)'!$D$46</f>
        <v>28.665476710122984</v>
      </c>
      <c r="K59" s="82">
        <f t="shared" si="2"/>
        <v>31600.395986968251</v>
      </c>
      <c r="L59" s="38">
        <f t="shared" si="3"/>
        <v>4552.0034549567326</v>
      </c>
      <c r="M59" s="34"/>
      <c r="N59" s="45">
        <f t="shared" si="4"/>
        <v>4552.003454956729</v>
      </c>
    </row>
    <row r="60" spans="1:14" s="5" customFormat="1" ht="13.5" customHeight="1">
      <c r="A60" s="36">
        <v>44827</v>
      </c>
      <c r="B60" s="247" t="s">
        <v>250</v>
      </c>
      <c r="C60" s="160"/>
      <c r="D60" s="37">
        <v>11</v>
      </c>
      <c r="E60" s="33" t="s">
        <v>107</v>
      </c>
      <c r="F60" s="35"/>
      <c r="G60" s="103"/>
      <c r="H60" s="77"/>
      <c r="I60" s="177">
        <v>3.6</v>
      </c>
      <c r="J60" s="86">
        <f>I60/'통장내역(환율표)'!$D$46</f>
        <v>0.51857143797207417</v>
      </c>
      <c r="K60" s="82">
        <f t="shared" si="2"/>
        <v>31596.795986968253</v>
      </c>
      <c r="L60" s="38">
        <f t="shared" si="3"/>
        <v>4551.4848835187604</v>
      </c>
      <c r="M60" s="34"/>
      <c r="N60" s="45">
        <f t="shared" si="4"/>
        <v>4551.4848835187568</v>
      </c>
    </row>
    <row r="61" spans="1:14" s="5" customFormat="1" ht="13.5" customHeight="1">
      <c r="A61" s="36">
        <v>44827</v>
      </c>
      <c r="B61" s="247" t="s">
        <v>341</v>
      </c>
      <c r="C61" s="160"/>
      <c r="D61" s="37">
        <v>12</v>
      </c>
      <c r="E61" s="33" t="s">
        <v>342</v>
      </c>
      <c r="F61" s="35"/>
      <c r="G61" s="103"/>
      <c r="H61" s="77"/>
      <c r="I61" s="177">
        <v>216</v>
      </c>
      <c r="J61" s="86">
        <f>I61/'통장내역(환율표)'!$D$46</f>
        <v>31.114286278324446</v>
      </c>
      <c r="K61" s="82">
        <f t="shared" si="2"/>
        <v>31380.795986968253</v>
      </c>
      <c r="L61" s="38">
        <f t="shared" si="3"/>
        <v>4520.3705972404359</v>
      </c>
      <c r="M61" s="34" t="s">
        <v>338</v>
      </c>
      <c r="N61" s="45">
        <f t="shared" si="4"/>
        <v>4520.3705972404323</v>
      </c>
    </row>
    <row r="62" spans="1:14" s="5" customFormat="1" ht="13.5" customHeight="1">
      <c r="A62" s="36">
        <v>44827</v>
      </c>
      <c r="B62" s="247" t="s">
        <v>340</v>
      </c>
      <c r="C62" s="160"/>
      <c r="D62" s="37">
        <v>12</v>
      </c>
      <c r="E62" s="33" t="s">
        <v>342</v>
      </c>
      <c r="F62" s="35"/>
      <c r="G62" s="103"/>
      <c r="H62" s="77"/>
      <c r="I62" s="177">
        <v>3.6</v>
      </c>
      <c r="J62" s="86">
        <f>I62/'통장내역(환율표)'!$D$46</f>
        <v>0.51857143797207417</v>
      </c>
      <c r="K62" s="82">
        <f t="shared" si="2"/>
        <v>31377.195986968254</v>
      </c>
      <c r="L62" s="38">
        <f t="shared" si="3"/>
        <v>4519.8520258024637</v>
      </c>
      <c r="M62" s="34"/>
      <c r="N62" s="45">
        <f t="shared" si="4"/>
        <v>4519.85202580246</v>
      </c>
    </row>
  </sheetData>
  <autoFilter ref="A16:N62" xr:uid="{00000000-0009-0000-0000-000008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N73"/>
  <sheetViews>
    <sheetView showGridLines="0" topLeftCell="A19" zoomScaleNormal="100" workbookViewId="0">
      <selection activeCell="E53" sqref="E52:E53"/>
    </sheetView>
  </sheetViews>
  <sheetFormatPr defaultRowHeight="16.5"/>
  <cols>
    <col min="1" max="1" width="10.25" bestFit="1" customWidth="1"/>
    <col min="2" max="2" width="30.75" customWidth="1"/>
    <col min="3" max="3" width="9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9.625" bestFit="1" customWidth="1"/>
  </cols>
  <sheetData>
    <row r="1" spans="1:13" ht="24">
      <c r="A1" s="1" t="s">
        <v>383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420</v>
      </c>
      <c r="B2" s="2"/>
      <c r="C2" s="2"/>
      <c r="E2" s="4">
        <v>100068838</v>
      </c>
      <c r="F2" s="7"/>
      <c r="G2" s="5" t="s">
        <v>419</v>
      </c>
      <c r="H2" s="2"/>
      <c r="I2" s="2"/>
      <c r="K2" s="4">
        <v>100062087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265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266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238</v>
      </c>
      <c r="B5" s="115" t="s">
        <v>12</v>
      </c>
      <c r="C5" s="120"/>
      <c r="D5" s="116"/>
      <c r="E5" s="117"/>
      <c r="F5" s="267">
        <v>51131050</v>
      </c>
      <c r="G5" s="114" t="s">
        <v>238</v>
      </c>
      <c r="H5" s="115" t="s">
        <v>12</v>
      </c>
      <c r="I5" s="120">
        <v>2088</v>
      </c>
      <c r="J5" s="116">
        <v>292.3411402908219</v>
      </c>
      <c r="K5" s="117">
        <v>412287</v>
      </c>
      <c r="L5" s="248">
        <f t="shared" ref="L5:L10" si="0">K5+E5</f>
        <v>412287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267">
        <v>51061030</v>
      </c>
      <c r="G6" s="114" t="s">
        <v>294</v>
      </c>
      <c r="H6" s="115" t="s">
        <v>14</v>
      </c>
      <c r="I6" s="116">
        <v>16155.48</v>
      </c>
      <c r="J6" s="116">
        <v>2261.9307687478772</v>
      </c>
      <c r="K6" s="117">
        <v>3190000</v>
      </c>
      <c r="L6" s="248">
        <f t="shared" si="0"/>
        <v>3190000</v>
      </c>
    </row>
    <row r="7" spans="1:13" s="5" customFormat="1" ht="13.5">
      <c r="A7" s="114" t="s">
        <v>75</v>
      </c>
      <c r="B7" s="115" t="s">
        <v>16</v>
      </c>
      <c r="C7" s="116">
        <v>11215.00050557043</v>
      </c>
      <c r="D7" s="116">
        <v>1615.4941497308878</v>
      </c>
      <c r="E7" s="117">
        <v>2231315</v>
      </c>
      <c r="F7" s="267">
        <v>51201020</v>
      </c>
      <c r="G7" s="114" t="s">
        <v>75</v>
      </c>
      <c r="H7" s="115" t="s">
        <v>16</v>
      </c>
      <c r="I7" s="116">
        <v>8224.9994944295704</v>
      </c>
      <c r="J7" s="116">
        <v>1151.5832045464438</v>
      </c>
      <c r="K7" s="117">
        <v>1624073</v>
      </c>
      <c r="L7" s="248">
        <f t="shared" si="0"/>
        <v>3855388</v>
      </c>
    </row>
    <row r="8" spans="1:13" s="5" customFormat="1" ht="13.5">
      <c r="A8" s="114" t="s">
        <v>75</v>
      </c>
      <c r="B8" s="114" t="s">
        <v>17</v>
      </c>
      <c r="C8" s="116"/>
      <c r="D8" s="116"/>
      <c r="E8" s="117"/>
      <c r="F8" s="267">
        <v>51201030</v>
      </c>
      <c r="G8" s="114" t="s">
        <v>75</v>
      </c>
      <c r="H8" s="114" t="s">
        <v>17</v>
      </c>
      <c r="I8" s="116">
        <v>10500</v>
      </c>
      <c r="J8" s="116">
        <v>1470.106308933731</v>
      </c>
      <c r="K8" s="117">
        <v>2073296</v>
      </c>
      <c r="L8" s="248">
        <f t="shared" si="0"/>
        <v>2073296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267">
        <v>51071700</v>
      </c>
      <c r="G9" s="114" t="s">
        <v>296</v>
      </c>
      <c r="H9" s="114" t="s">
        <v>20</v>
      </c>
      <c r="I9" s="116">
        <v>1129</v>
      </c>
      <c r="J9" s="116">
        <v>158.07143074154118</v>
      </c>
      <c r="K9" s="117">
        <v>222926</v>
      </c>
      <c r="L9" s="248">
        <f t="shared" si="0"/>
        <v>222926</v>
      </c>
    </row>
    <row r="10" spans="1:13" s="5" customFormat="1" ht="13.5">
      <c r="A10" s="114" t="s">
        <v>62</v>
      </c>
      <c r="B10" s="115"/>
      <c r="C10" s="116">
        <v>23259.73</v>
      </c>
      <c r="D10" s="116">
        <v>3350.5087869283866</v>
      </c>
      <c r="E10" s="117">
        <v>4627724</v>
      </c>
      <c r="F10" s="267">
        <v>51321010</v>
      </c>
      <c r="G10" s="114" t="s">
        <v>62</v>
      </c>
      <c r="H10" s="115"/>
      <c r="I10" s="116">
        <v>135794.10132952614</v>
      </c>
      <c r="J10" s="116">
        <v>19272.370163774391</v>
      </c>
      <c r="K10" s="117">
        <v>27179823</v>
      </c>
      <c r="L10" s="248">
        <f t="shared" si="0"/>
        <v>31807547</v>
      </c>
    </row>
    <row r="11" spans="1:13" s="5" customFormat="1" ht="13.5">
      <c r="A11" s="122" t="s">
        <v>23</v>
      </c>
      <c r="B11" s="123"/>
      <c r="C11" s="116"/>
      <c r="D11" s="116"/>
      <c r="E11" s="117"/>
      <c r="F11" s="267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.5">
      <c r="A12" s="1493" t="s">
        <v>299</v>
      </c>
      <c r="B12" s="1494"/>
      <c r="C12" s="124">
        <f>SUM(C4:C11)</f>
        <v>34474.730505570427</v>
      </c>
      <c r="D12" s="124">
        <f>SUM(D4:D11)</f>
        <v>4966.0029366592744</v>
      </c>
      <c r="E12" s="125">
        <f>SUM(E4:E11)</f>
        <v>6859039</v>
      </c>
      <c r="F12" s="267">
        <v>52981010</v>
      </c>
      <c r="G12" s="1493" t="s">
        <v>299</v>
      </c>
      <c r="H12" s="1494"/>
      <c r="I12" s="124">
        <f>SUM(I4:I11)</f>
        <v>173891.58082395571</v>
      </c>
      <c r="J12" s="124">
        <f>SUM(J4:J11)</f>
        <v>24606.403017034805</v>
      </c>
      <c r="K12" s="125">
        <f>SUM(K4:K10)</f>
        <v>34702405</v>
      </c>
      <c r="L12" s="119"/>
    </row>
    <row r="13" spans="1:13" s="5" customFormat="1" ht="13.5">
      <c r="A13" s="126"/>
      <c r="B13" s="127"/>
      <c r="C13" s="128">
        <f>C12+I12</f>
        <v>208366.31132952613</v>
      </c>
      <c r="D13" s="128">
        <f>D12+J12</f>
        <v>29572.40595369408</v>
      </c>
      <c r="E13" s="250">
        <f>E12+K12</f>
        <v>41561444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29965.842936659272</v>
      </c>
      <c r="I14" s="137">
        <f>SUBTOTAL(9,I17:I87)</f>
        <v>210036.34132952616</v>
      </c>
      <c r="J14" s="137">
        <f>SUBTOTAL(9,J17:J85)</f>
        <v>29572.405953694084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232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31377.200000000001</v>
      </c>
      <c r="L17" s="108">
        <v>4519.8520258024637</v>
      </c>
      <c r="M17" s="106"/>
      <c r="N17" s="45">
        <v>4519.8500000000004</v>
      </c>
    </row>
    <row r="18" spans="1:14" s="5" customFormat="1" ht="13.5" customHeight="1">
      <c r="A18" s="57">
        <v>44848</v>
      </c>
      <c r="B18" s="181" t="s">
        <v>232</v>
      </c>
      <c r="C18" s="182"/>
      <c r="D18" s="60">
        <v>1</v>
      </c>
      <c r="E18" s="59"/>
      <c r="F18" s="61"/>
      <c r="G18" s="183">
        <v>210653.98</v>
      </c>
      <c r="H18" s="78">
        <v>29519.69</v>
      </c>
      <c r="I18" s="184"/>
      <c r="J18" s="102"/>
      <c r="K18" s="83">
        <f t="shared" ref="K18:L20" si="1">K17+G18-I18</f>
        <v>242031.18000000002</v>
      </c>
      <c r="L18" s="62">
        <f t="shared" si="1"/>
        <v>34039.542025802461</v>
      </c>
      <c r="M18" s="58" t="s">
        <v>232</v>
      </c>
      <c r="N18" s="45"/>
    </row>
    <row r="19" spans="1:14" s="5" customFormat="1" ht="13.5" customHeight="1">
      <c r="A19" s="57">
        <v>44848</v>
      </c>
      <c r="B19" s="260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242031.18000000002</v>
      </c>
      <c r="L19" s="62">
        <f t="shared" si="1"/>
        <v>34013.542025802461</v>
      </c>
      <c r="M19" s="58"/>
      <c r="N19" s="45"/>
    </row>
    <row r="20" spans="1:14" s="5" customFormat="1" ht="13.5" customHeight="1">
      <c r="A20" s="263">
        <v>44858</v>
      </c>
      <c r="B20" s="261" t="s">
        <v>386</v>
      </c>
      <c r="C20" s="160"/>
      <c r="D20" s="37">
        <v>2</v>
      </c>
      <c r="E20" s="33" t="s">
        <v>321</v>
      </c>
      <c r="F20" s="35"/>
      <c r="G20" s="103">
        <v>3097.26</v>
      </c>
      <c r="H20" s="77">
        <f>G20/'통장내역(환율표)'!$D$46</f>
        <v>446.15293665927402</v>
      </c>
      <c r="I20" s="177">
        <v>0</v>
      </c>
      <c r="J20" s="258">
        <f>I20/'통장내역(환율표)'!$D$46</f>
        <v>0</v>
      </c>
      <c r="K20" s="82">
        <f t="shared" si="1"/>
        <v>245128.44000000003</v>
      </c>
      <c r="L20" s="38">
        <f t="shared" si="1"/>
        <v>34459.694962461734</v>
      </c>
      <c r="M20" s="34"/>
      <c r="N20" s="45">
        <f>N17-J20+H20</f>
        <v>4966.0029366592744</v>
      </c>
    </row>
    <row r="21" spans="1:14" s="5" customFormat="1" ht="13.5" customHeight="1">
      <c r="A21" s="263">
        <v>44859</v>
      </c>
      <c r="B21" s="261" t="s">
        <v>387</v>
      </c>
      <c r="C21" s="160"/>
      <c r="D21" s="37">
        <v>3</v>
      </c>
      <c r="E21" s="33" t="s">
        <v>321</v>
      </c>
      <c r="F21" s="35"/>
      <c r="G21" s="103"/>
      <c r="H21" s="77"/>
      <c r="I21" s="177">
        <v>23259.73</v>
      </c>
      <c r="J21" s="258">
        <f>I21/'통장내역(환율표)'!$D$46</f>
        <v>3350.5087869283866</v>
      </c>
      <c r="K21" s="82">
        <f t="shared" ref="K21:K52" si="2">K20+G21-I21</f>
        <v>221868.71000000002</v>
      </c>
      <c r="L21" s="38">
        <f t="shared" ref="L21:L52" si="3">L20+H21-J21</f>
        <v>31109.186175533348</v>
      </c>
      <c r="M21" s="34"/>
      <c r="N21" s="45">
        <f>N20-J21+H21</f>
        <v>1615.4941497308878</v>
      </c>
    </row>
    <row r="22" spans="1:14" s="5" customFormat="1" ht="13.5" customHeight="1">
      <c r="A22" s="264">
        <v>44859</v>
      </c>
      <c r="B22" s="262" t="s">
        <v>406</v>
      </c>
      <c r="C22" s="222"/>
      <c r="D22" s="42">
        <v>4</v>
      </c>
      <c r="E22" s="41" t="s">
        <v>75</v>
      </c>
      <c r="F22" s="43" t="s">
        <v>360</v>
      </c>
      <c r="G22" s="53"/>
      <c r="H22" s="76"/>
      <c r="I22" s="87">
        <f>J22*'통장내역(환율표)'!$D$46</f>
        <v>11215.00050557043</v>
      </c>
      <c r="J22" s="258">
        <v>1615.4941497308878</v>
      </c>
      <c r="K22" s="81">
        <f t="shared" si="2"/>
        <v>210653.70949442958</v>
      </c>
      <c r="L22" s="44">
        <f t="shared" si="3"/>
        <v>29493.692025802462</v>
      </c>
      <c r="M22" s="51"/>
      <c r="N22" s="45">
        <f>N21-J22+H22</f>
        <v>0</v>
      </c>
    </row>
    <row r="23" spans="1:14" s="5" customFormat="1" ht="13.5" customHeight="1">
      <c r="A23" s="264">
        <v>44859</v>
      </c>
      <c r="B23" s="262" t="s">
        <v>407</v>
      </c>
      <c r="C23" s="222"/>
      <c r="D23" s="42">
        <v>4</v>
      </c>
      <c r="E23" s="41" t="s">
        <v>75</v>
      </c>
      <c r="F23" s="43" t="s">
        <v>360</v>
      </c>
      <c r="G23" s="53"/>
      <c r="H23" s="76"/>
      <c r="I23" s="87">
        <f>19440-I22</f>
        <v>8224.9994944295704</v>
      </c>
      <c r="J23" s="86">
        <f>I23/'통장내역(환율표)'!$D$53</f>
        <v>1151.5832045464438</v>
      </c>
      <c r="K23" s="82">
        <f t="shared" si="2"/>
        <v>202428.71000000002</v>
      </c>
      <c r="L23" s="82">
        <f t="shared" si="3"/>
        <v>28342.108821256017</v>
      </c>
      <c r="M23" s="51"/>
      <c r="N23" s="45">
        <f>29493.69-J23</f>
        <v>28342.106795453554</v>
      </c>
    </row>
    <row r="24" spans="1:14" s="5" customFormat="1" ht="13.5" customHeight="1">
      <c r="A24" s="263">
        <v>44859</v>
      </c>
      <c r="B24" s="261" t="s">
        <v>385</v>
      </c>
      <c r="C24" s="160"/>
      <c r="D24" s="37">
        <v>4</v>
      </c>
      <c r="E24" s="33" t="s">
        <v>321</v>
      </c>
      <c r="F24" s="35"/>
      <c r="G24" s="103"/>
      <c r="H24" s="77"/>
      <c r="I24" s="177">
        <v>7.2</v>
      </c>
      <c r="J24" s="86">
        <f>I24/'통장내역(환율표)'!$D$53</f>
        <v>1.0080728975545583</v>
      </c>
      <c r="K24" s="82">
        <f t="shared" si="2"/>
        <v>202421.51</v>
      </c>
      <c r="L24" s="82">
        <f t="shared" si="3"/>
        <v>28341.100748358462</v>
      </c>
      <c r="M24" s="34"/>
      <c r="N24" s="45">
        <f t="shared" ref="N24:N70" si="4">N23-J24+H24</f>
        <v>28341.098722555998</v>
      </c>
    </row>
    <row r="25" spans="1:14" s="5" customFormat="1" ht="13.5" customHeight="1">
      <c r="A25" s="263">
        <v>44859</v>
      </c>
      <c r="B25" s="261" t="s">
        <v>388</v>
      </c>
      <c r="C25" s="160"/>
      <c r="D25" s="37">
        <v>5</v>
      </c>
      <c r="E25" s="33" t="s">
        <v>409</v>
      </c>
      <c r="F25" s="35" t="s">
        <v>410</v>
      </c>
      <c r="G25" s="103"/>
      <c r="H25" s="77"/>
      <c r="I25" s="177">
        <v>10500</v>
      </c>
      <c r="J25" s="86">
        <f>I25/'통장내역(환율표)'!$D$53</f>
        <v>1470.106308933731</v>
      </c>
      <c r="K25" s="82">
        <f t="shared" si="2"/>
        <v>191921.51</v>
      </c>
      <c r="L25" s="82">
        <f t="shared" si="3"/>
        <v>26870.994439424732</v>
      </c>
      <c r="M25" s="34"/>
      <c r="N25" s="45">
        <f t="shared" si="4"/>
        <v>26870.992413622269</v>
      </c>
    </row>
    <row r="26" spans="1:14" s="5" customFormat="1" ht="13.5" customHeight="1">
      <c r="A26" s="263">
        <v>44859</v>
      </c>
      <c r="B26" s="261" t="s">
        <v>389</v>
      </c>
      <c r="C26" s="160"/>
      <c r="D26" s="37">
        <v>5</v>
      </c>
      <c r="E26" s="33" t="s">
        <v>411</v>
      </c>
      <c r="F26" s="35"/>
      <c r="G26" s="103"/>
      <c r="H26" s="77"/>
      <c r="I26" s="177">
        <v>6000</v>
      </c>
      <c r="J26" s="86">
        <f>I26/'통장내역(환율표)'!$D$53</f>
        <v>840.06074796213193</v>
      </c>
      <c r="K26" s="82">
        <f t="shared" si="2"/>
        <v>185921.51</v>
      </c>
      <c r="L26" s="82">
        <f t="shared" si="3"/>
        <v>26030.9336914626</v>
      </c>
      <c r="M26" s="34"/>
      <c r="N26" s="45">
        <f t="shared" si="4"/>
        <v>26030.931665660137</v>
      </c>
    </row>
    <row r="27" spans="1:14" s="5" customFormat="1" ht="13.5" customHeight="1">
      <c r="A27" s="263">
        <v>44859</v>
      </c>
      <c r="B27" s="261" t="s">
        <v>390</v>
      </c>
      <c r="C27" s="160"/>
      <c r="D27" s="37">
        <v>5</v>
      </c>
      <c r="E27" s="33" t="s">
        <v>411</v>
      </c>
      <c r="F27" s="35"/>
      <c r="G27" s="103"/>
      <c r="H27" s="77"/>
      <c r="I27" s="177">
        <v>300</v>
      </c>
      <c r="J27" s="86">
        <f>I27/'통장내역(환율표)'!$D$53</f>
        <v>42.003037398106599</v>
      </c>
      <c r="K27" s="82">
        <f t="shared" si="2"/>
        <v>185621.51</v>
      </c>
      <c r="L27" s="82">
        <f t="shared" si="3"/>
        <v>25988.930654064494</v>
      </c>
      <c r="M27" s="34"/>
      <c r="N27" s="45">
        <f t="shared" si="4"/>
        <v>25988.928628262031</v>
      </c>
    </row>
    <row r="28" spans="1:14" s="5" customFormat="1" ht="13.5" customHeight="1">
      <c r="A28" s="263">
        <v>44859</v>
      </c>
      <c r="B28" s="261" t="s">
        <v>385</v>
      </c>
      <c r="C28" s="160"/>
      <c r="D28" s="37">
        <v>5</v>
      </c>
      <c r="E28" s="33" t="s">
        <v>411</v>
      </c>
      <c r="F28" s="35"/>
      <c r="G28" s="103"/>
      <c r="H28" s="77"/>
      <c r="I28" s="177">
        <v>7.2</v>
      </c>
      <c r="J28" s="86">
        <f>I28/'통장내역(환율표)'!$D$53</f>
        <v>1.0080728975545583</v>
      </c>
      <c r="K28" s="82">
        <f t="shared" si="2"/>
        <v>185614.31</v>
      </c>
      <c r="L28" s="82">
        <f t="shared" si="3"/>
        <v>25987.922581166938</v>
      </c>
      <c r="M28" s="34"/>
      <c r="N28" s="45">
        <f t="shared" si="4"/>
        <v>25987.920555364475</v>
      </c>
    </row>
    <row r="29" spans="1:14" s="5" customFormat="1" ht="13.5" customHeight="1">
      <c r="A29" s="263">
        <v>44859</v>
      </c>
      <c r="B29" s="261" t="s">
        <v>391</v>
      </c>
      <c r="C29" s="160"/>
      <c r="D29" s="37">
        <v>6</v>
      </c>
      <c r="E29" s="33" t="s">
        <v>411</v>
      </c>
      <c r="F29" s="35"/>
      <c r="G29" s="103"/>
      <c r="H29" s="77"/>
      <c r="I29" s="177">
        <v>1000</v>
      </c>
      <c r="J29" s="86">
        <f>I29/'통장내역(환율표)'!$D$53</f>
        <v>140.01012466035533</v>
      </c>
      <c r="K29" s="82">
        <f t="shared" si="2"/>
        <v>184614.31</v>
      </c>
      <c r="L29" s="82">
        <f t="shared" si="3"/>
        <v>25847.912456506583</v>
      </c>
      <c r="M29" s="34"/>
      <c r="N29" s="45">
        <f t="shared" si="4"/>
        <v>25847.91043070412</v>
      </c>
    </row>
    <row r="30" spans="1:14" s="5" customFormat="1" ht="13.5" customHeight="1">
      <c r="A30" s="263">
        <v>44859</v>
      </c>
      <c r="B30" s="261" t="s">
        <v>385</v>
      </c>
      <c r="C30" s="160"/>
      <c r="D30" s="37">
        <v>6</v>
      </c>
      <c r="E30" s="33" t="s">
        <v>411</v>
      </c>
      <c r="F30" s="35"/>
      <c r="G30" s="103"/>
      <c r="H30" s="77"/>
      <c r="I30" s="177">
        <v>3.6</v>
      </c>
      <c r="J30" s="86">
        <f>I30/'통장내역(환율표)'!$D$53</f>
        <v>0.50403644877727916</v>
      </c>
      <c r="K30" s="82">
        <f t="shared" si="2"/>
        <v>184610.71</v>
      </c>
      <c r="L30" s="82">
        <f t="shared" si="3"/>
        <v>25847.408420057807</v>
      </c>
      <c r="M30" s="34"/>
      <c r="N30" s="45">
        <f t="shared" si="4"/>
        <v>25847.406394255344</v>
      </c>
    </row>
    <row r="31" spans="1:14" s="5" customFormat="1" ht="13.5" customHeight="1">
      <c r="A31" s="263">
        <v>44859</v>
      </c>
      <c r="B31" s="261" t="s">
        <v>392</v>
      </c>
      <c r="C31" s="160"/>
      <c r="D31" s="37">
        <v>7</v>
      </c>
      <c r="E31" s="33" t="s">
        <v>411</v>
      </c>
      <c r="F31" s="35"/>
      <c r="G31" s="103"/>
      <c r="H31" s="77"/>
      <c r="I31" s="177">
        <v>2040.13</v>
      </c>
      <c r="J31" s="86">
        <f>I31/'통장내역(환율표)'!$D$53</f>
        <v>285.63885562333076</v>
      </c>
      <c r="K31" s="82">
        <f t="shared" si="2"/>
        <v>182570.58</v>
      </c>
      <c r="L31" s="82">
        <f t="shared" si="3"/>
        <v>25561.769564434475</v>
      </c>
      <c r="M31" s="34" t="s">
        <v>393</v>
      </c>
      <c r="N31" s="45">
        <f t="shared" si="4"/>
        <v>25561.767538632012</v>
      </c>
    </row>
    <row r="32" spans="1:14" s="5" customFormat="1" ht="13.5" customHeight="1">
      <c r="A32" s="263">
        <v>44859</v>
      </c>
      <c r="B32" s="261" t="s">
        <v>385</v>
      </c>
      <c r="C32" s="160"/>
      <c r="D32" s="37">
        <v>7</v>
      </c>
      <c r="E32" s="33" t="s">
        <v>411</v>
      </c>
      <c r="F32" s="35"/>
      <c r="G32" s="103"/>
      <c r="H32" s="77"/>
      <c r="I32" s="177">
        <v>3.6</v>
      </c>
      <c r="J32" s="86">
        <f>I32/'통장내역(환율표)'!$D$53</f>
        <v>0.50403644877727916</v>
      </c>
      <c r="K32" s="82">
        <f t="shared" si="2"/>
        <v>182566.97999999998</v>
      </c>
      <c r="L32" s="82">
        <f t="shared" si="3"/>
        <v>25561.265527985699</v>
      </c>
      <c r="M32" s="34"/>
      <c r="N32" s="45">
        <f t="shared" si="4"/>
        <v>25561.263502183236</v>
      </c>
    </row>
    <row r="33" spans="1:14" s="5" customFormat="1" ht="13.5" customHeight="1">
      <c r="A33" s="263">
        <v>44859</v>
      </c>
      <c r="B33" s="261" t="s">
        <v>394</v>
      </c>
      <c r="C33" s="160"/>
      <c r="D33" s="37">
        <v>8</v>
      </c>
      <c r="E33" s="33" t="s">
        <v>412</v>
      </c>
      <c r="F33" s="35" t="s">
        <v>413</v>
      </c>
      <c r="G33" s="103"/>
      <c r="H33" s="77"/>
      <c r="I33" s="177">
        <v>2205</v>
      </c>
      <c r="J33" s="86">
        <f>I33/'통장내역(환율표)'!$D$53</f>
        <v>308.72232487608352</v>
      </c>
      <c r="K33" s="82">
        <f t="shared" si="2"/>
        <v>180361.97999999998</v>
      </c>
      <c r="L33" s="82">
        <f t="shared" si="3"/>
        <v>25252.543203109617</v>
      </c>
      <c r="M33" s="34" t="s">
        <v>395</v>
      </c>
      <c r="N33" s="45">
        <f t="shared" si="4"/>
        <v>25252.541177307154</v>
      </c>
    </row>
    <row r="34" spans="1:14" s="5" customFormat="1" ht="13.5" customHeight="1">
      <c r="A34" s="263">
        <v>44859</v>
      </c>
      <c r="B34" s="261" t="s">
        <v>385</v>
      </c>
      <c r="C34" s="160"/>
      <c r="D34" s="37">
        <v>8</v>
      </c>
      <c r="E34" s="33" t="s">
        <v>411</v>
      </c>
      <c r="F34" s="35"/>
      <c r="G34" s="103"/>
      <c r="H34" s="77"/>
      <c r="I34" s="177">
        <v>3.6</v>
      </c>
      <c r="J34" s="86">
        <f>I34/'통장내역(환율표)'!$D$53</f>
        <v>0.50403644877727916</v>
      </c>
      <c r="K34" s="82">
        <f t="shared" si="2"/>
        <v>180358.37999999998</v>
      </c>
      <c r="L34" s="82">
        <f t="shared" si="3"/>
        <v>25252.039166660841</v>
      </c>
      <c r="M34" s="34"/>
      <c r="N34" s="45">
        <f t="shared" si="4"/>
        <v>25252.037140858378</v>
      </c>
    </row>
    <row r="35" spans="1:14" s="5" customFormat="1" ht="13.5" customHeight="1">
      <c r="A35" s="263">
        <v>44859</v>
      </c>
      <c r="B35" s="261" t="s">
        <v>130</v>
      </c>
      <c r="C35" s="160"/>
      <c r="D35" s="37">
        <v>9</v>
      </c>
      <c r="E35" s="33" t="s">
        <v>411</v>
      </c>
      <c r="F35" s="35"/>
      <c r="G35" s="103"/>
      <c r="H35" s="77"/>
      <c r="I35" s="177">
        <v>300</v>
      </c>
      <c r="J35" s="86">
        <f>I35/'통장내역(환율표)'!$D$53</f>
        <v>42.003037398106599</v>
      </c>
      <c r="K35" s="82">
        <f t="shared" si="2"/>
        <v>180058.37999999998</v>
      </c>
      <c r="L35" s="82">
        <f t="shared" si="3"/>
        <v>25210.036129262735</v>
      </c>
      <c r="M35" s="34" t="s">
        <v>188</v>
      </c>
      <c r="N35" s="45">
        <f t="shared" si="4"/>
        <v>25210.034103460272</v>
      </c>
    </row>
    <row r="36" spans="1:14" s="5" customFormat="1" ht="13.5" customHeight="1">
      <c r="A36" s="263">
        <v>44859</v>
      </c>
      <c r="B36" s="261" t="s">
        <v>131</v>
      </c>
      <c r="C36" s="160"/>
      <c r="D36" s="37">
        <v>9</v>
      </c>
      <c r="E36" s="33" t="s">
        <v>411</v>
      </c>
      <c r="F36" s="35"/>
      <c r="G36" s="103"/>
      <c r="H36" s="77"/>
      <c r="I36" s="177">
        <v>7599.43</v>
      </c>
      <c r="J36" s="86">
        <f>I36/'통장내역(환율표)'!$D$53</f>
        <v>1063.9971416476442</v>
      </c>
      <c r="K36" s="82">
        <f t="shared" si="2"/>
        <v>172458.94999999998</v>
      </c>
      <c r="L36" s="82">
        <f t="shared" si="3"/>
        <v>24146.038987615091</v>
      </c>
      <c r="M36" s="34" t="s">
        <v>188</v>
      </c>
      <c r="N36" s="45">
        <f t="shared" si="4"/>
        <v>24146.036961812628</v>
      </c>
    </row>
    <row r="37" spans="1:14" s="5" customFormat="1" ht="13.5" customHeight="1">
      <c r="A37" s="263">
        <v>44859</v>
      </c>
      <c r="B37" s="261" t="s">
        <v>133</v>
      </c>
      <c r="C37" s="160"/>
      <c r="D37" s="37">
        <v>9</v>
      </c>
      <c r="E37" s="33" t="s">
        <v>411</v>
      </c>
      <c r="F37" s="35"/>
      <c r="G37" s="103"/>
      <c r="H37" s="77"/>
      <c r="I37" s="177">
        <v>5104.5800000000017</v>
      </c>
      <c r="J37" s="86">
        <f>I37/'통장내역(환율표)'!$D$53</f>
        <v>714.69288213875689</v>
      </c>
      <c r="K37" s="82">
        <f t="shared" si="2"/>
        <v>167354.37</v>
      </c>
      <c r="L37" s="82">
        <f t="shared" si="3"/>
        <v>23431.346105476336</v>
      </c>
      <c r="M37" s="34" t="s">
        <v>188</v>
      </c>
      <c r="N37" s="45">
        <f t="shared" si="4"/>
        <v>23431.344079673872</v>
      </c>
    </row>
    <row r="38" spans="1:14" s="5" customFormat="1" ht="13.5" customHeight="1">
      <c r="A38" s="263">
        <v>44859</v>
      </c>
      <c r="B38" s="261" t="s">
        <v>132</v>
      </c>
      <c r="C38" s="160"/>
      <c r="D38" s="37">
        <v>9</v>
      </c>
      <c r="E38" s="33" t="s">
        <v>411</v>
      </c>
      <c r="F38" s="35"/>
      <c r="G38" s="103"/>
      <c r="H38" s="77"/>
      <c r="I38" s="177">
        <v>13500</v>
      </c>
      <c r="J38" s="86">
        <f>I38/'통장내역(환율표)'!$D$53</f>
        <v>1890.1366829147969</v>
      </c>
      <c r="K38" s="82">
        <f t="shared" si="2"/>
        <v>153854.37</v>
      </c>
      <c r="L38" s="82">
        <f t="shared" si="3"/>
        <v>21541.20942256154</v>
      </c>
      <c r="M38" s="34" t="s">
        <v>188</v>
      </c>
      <c r="N38" s="45">
        <f t="shared" si="4"/>
        <v>21541.207396759077</v>
      </c>
    </row>
    <row r="39" spans="1:14" s="5" customFormat="1" ht="13.5" customHeight="1">
      <c r="A39" s="263">
        <v>44859</v>
      </c>
      <c r="B39" s="261" t="s">
        <v>134</v>
      </c>
      <c r="C39" s="160"/>
      <c r="D39" s="37">
        <v>9</v>
      </c>
      <c r="E39" s="33" t="s">
        <v>411</v>
      </c>
      <c r="F39" s="35"/>
      <c r="G39" s="103"/>
      <c r="H39" s="77"/>
      <c r="I39" s="177">
        <v>20000</v>
      </c>
      <c r="J39" s="86">
        <f>I39/'통장내역(환율표)'!$D$53</f>
        <v>2800.2024932071067</v>
      </c>
      <c r="K39" s="82">
        <f t="shared" si="2"/>
        <v>133854.37</v>
      </c>
      <c r="L39" s="82">
        <f t="shared" si="3"/>
        <v>18741.006929354433</v>
      </c>
      <c r="M39" s="34" t="s">
        <v>188</v>
      </c>
      <c r="N39" s="45">
        <f t="shared" si="4"/>
        <v>18741.00490355197</v>
      </c>
    </row>
    <row r="40" spans="1:14" s="5" customFormat="1" ht="13.5" customHeight="1">
      <c r="A40" s="263">
        <v>44859</v>
      </c>
      <c r="B40" s="261" t="s">
        <v>130</v>
      </c>
      <c r="C40" s="160"/>
      <c r="D40" s="37">
        <v>9</v>
      </c>
      <c r="E40" s="33" t="s">
        <v>411</v>
      </c>
      <c r="F40" s="35"/>
      <c r="G40" s="103"/>
      <c r="H40" s="77"/>
      <c r="I40" s="177">
        <v>300</v>
      </c>
      <c r="J40" s="86">
        <f>I40/'통장내역(환율표)'!$D$53</f>
        <v>42.003037398106599</v>
      </c>
      <c r="K40" s="82">
        <f t="shared" si="2"/>
        <v>133554.37</v>
      </c>
      <c r="L40" s="82">
        <f t="shared" si="3"/>
        <v>18699.003891956327</v>
      </c>
      <c r="M40" s="34" t="s">
        <v>211</v>
      </c>
      <c r="N40" s="45">
        <f t="shared" si="4"/>
        <v>18699.001866153863</v>
      </c>
    </row>
    <row r="41" spans="1:14" s="5" customFormat="1" ht="13.5" customHeight="1">
      <c r="A41" s="263">
        <v>44859</v>
      </c>
      <c r="B41" s="261" t="s">
        <v>131</v>
      </c>
      <c r="C41" s="160"/>
      <c r="D41" s="37">
        <v>9</v>
      </c>
      <c r="E41" s="33" t="s">
        <v>411</v>
      </c>
      <c r="F41" s="35"/>
      <c r="G41" s="103"/>
      <c r="H41" s="77"/>
      <c r="I41" s="177">
        <v>4224.43</v>
      </c>
      <c r="J41" s="86">
        <f>I41/'통장내역(환율표)'!$D$53</f>
        <v>591.46297091894485</v>
      </c>
      <c r="K41" s="82">
        <f t="shared" si="2"/>
        <v>129329.94</v>
      </c>
      <c r="L41" s="82">
        <f t="shared" si="3"/>
        <v>18107.540921037384</v>
      </c>
      <c r="M41" s="34" t="s">
        <v>211</v>
      </c>
      <c r="N41" s="45">
        <f t="shared" si="4"/>
        <v>18107.538895234917</v>
      </c>
    </row>
    <row r="42" spans="1:14" s="5" customFormat="1" ht="13.5" customHeight="1">
      <c r="A42" s="263">
        <v>44859</v>
      </c>
      <c r="B42" s="261" t="s">
        <v>133</v>
      </c>
      <c r="C42" s="160"/>
      <c r="D42" s="37">
        <v>9</v>
      </c>
      <c r="E42" s="33" t="s">
        <v>411</v>
      </c>
      <c r="F42" s="35"/>
      <c r="G42" s="103"/>
      <c r="H42" s="77"/>
      <c r="I42" s="177">
        <v>2114.29</v>
      </c>
      <c r="J42" s="86">
        <f>I42/'통장내역(환율표)'!$D$53</f>
        <v>296.02200646814265</v>
      </c>
      <c r="K42" s="82">
        <f t="shared" si="2"/>
        <v>127215.65000000001</v>
      </c>
      <c r="L42" s="82">
        <f t="shared" si="3"/>
        <v>17811.518914569242</v>
      </c>
      <c r="M42" s="34" t="s">
        <v>211</v>
      </c>
      <c r="N42" s="45">
        <f t="shared" si="4"/>
        <v>17811.516888766775</v>
      </c>
    </row>
    <row r="43" spans="1:14" s="5" customFormat="1" ht="13.5" customHeight="1">
      <c r="A43" s="263">
        <v>44859</v>
      </c>
      <c r="B43" s="261" t="s">
        <v>345</v>
      </c>
      <c r="C43" s="160"/>
      <c r="D43" s="37">
        <v>9</v>
      </c>
      <c r="E43" s="33" t="s">
        <v>411</v>
      </c>
      <c r="F43" s="35"/>
      <c r="G43" s="103"/>
      <c r="H43" s="77"/>
      <c r="I43" s="177">
        <v>13500</v>
      </c>
      <c r="J43" s="86">
        <f>I43/'통장내역(환율표)'!$D$53</f>
        <v>1890.1366829147969</v>
      </c>
      <c r="K43" s="82">
        <f t="shared" si="2"/>
        <v>113715.65000000001</v>
      </c>
      <c r="L43" s="82">
        <f t="shared" si="3"/>
        <v>15921.382231654445</v>
      </c>
      <c r="M43" s="34" t="s">
        <v>211</v>
      </c>
      <c r="N43" s="45">
        <f t="shared" si="4"/>
        <v>15921.380205851978</v>
      </c>
    </row>
    <row r="44" spans="1:14" s="5" customFormat="1" ht="13.5" customHeight="1">
      <c r="A44" s="263">
        <v>44859</v>
      </c>
      <c r="B44" s="261" t="s">
        <v>134</v>
      </c>
      <c r="C44" s="160"/>
      <c r="D44" s="37">
        <v>9</v>
      </c>
      <c r="E44" s="33" t="s">
        <v>411</v>
      </c>
      <c r="F44" s="35"/>
      <c r="G44" s="103"/>
      <c r="H44" s="77"/>
      <c r="I44" s="177">
        <v>14000</v>
      </c>
      <c r="J44" s="86">
        <f>I44/'통장내역(환율표)'!$D$53</f>
        <v>1960.1417452449746</v>
      </c>
      <c r="K44" s="82">
        <f t="shared" si="2"/>
        <v>99715.650000000009</v>
      </c>
      <c r="L44" s="82">
        <f t="shared" si="3"/>
        <v>13961.24048640947</v>
      </c>
      <c r="M44" s="34" t="s">
        <v>211</v>
      </c>
      <c r="N44" s="45">
        <f t="shared" si="4"/>
        <v>13961.238460607003</v>
      </c>
    </row>
    <row r="45" spans="1:14" s="5" customFormat="1" ht="13.5" customHeight="1">
      <c r="A45" s="263">
        <v>44859</v>
      </c>
      <c r="B45" s="261" t="s">
        <v>130</v>
      </c>
      <c r="C45" s="160"/>
      <c r="D45" s="37">
        <v>9</v>
      </c>
      <c r="E45" s="33" t="s">
        <v>411</v>
      </c>
      <c r="F45" s="35"/>
      <c r="G45" s="103"/>
      <c r="H45" s="77"/>
      <c r="I45" s="177">
        <v>300</v>
      </c>
      <c r="J45" s="86">
        <f>I45/'통장내역(환율표)'!$D$53</f>
        <v>42.003037398106599</v>
      </c>
      <c r="K45" s="82">
        <f t="shared" si="2"/>
        <v>99415.650000000009</v>
      </c>
      <c r="L45" s="82">
        <f t="shared" si="3"/>
        <v>13919.237449011363</v>
      </c>
      <c r="M45" s="34" t="s">
        <v>378</v>
      </c>
      <c r="N45" s="45">
        <f t="shared" si="4"/>
        <v>13919.235423208896</v>
      </c>
    </row>
    <row r="46" spans="1:14" s="5" customFormat="1" ht="13.5" customHeight="1">
      <c r="A46" s="263">
        <v>44859</v>
      </c>
      <c r="B46" s="261" t="s">
        <v>343</v>
      </c>
      <c r="C46" s="160"/>
      <c r="D46" s="37">
        <v>9</v>
      </c>
      <c r="E46" s="33" t="s">
        <v>411</v>
      </c>
      <c r="F46" s="35"/>
      <c r="G46" s="103"/>
      <c r="H46" s="77"/>
      <c r="I46" s="177">
        <v>8308.0999999999985</v>
      </c>
      <c r="J46" s="86">
        <f>I46/'통장내역(환율표)'!$D$53</f>
        <v>1163.2181166906978</v>
      </c>
      <c r="K46" s="82">
        <f t="shared" si="2"/>
        <v>91107.550000000017</v>
      </c>
      <c r="L46" s="82">
        <f t="shared" si="3"/>
        <v>12756.019332320666</v>
      </c>
      <c r="M46" s="34" t="s">
        <v>287</v>
      </c>
      <c r="N46" s="45">
        <f t="shared" si="4"/>
        <v>12756.017306518199</v>
      </c>
    </row>
    <row r="47" spans="1:14" s="5" customFormat="1" ht="13.5" customHeight="1">
      <c r="A47" s="263">
        <v>44859</v>
      </c>
      <c r="B47" s="261" t="s">
        <v>344</v>
      </c>
      <c r="C47" s="160"/>
      <c r="D47" s="37">
        <v>9</v>
      </c>
      <c r="E47" s="33" t="s">
        <v>411</v>
      </c>
      <c r="F47" s="35"/>
      <c r="G47" s="103"/>
      <c r="H47" s="77"/>
      <c r="I47" s="177">
        <v>1672.2599999999998</v>
      </c>
      <c r="J47" s="86">
        <f>I47/'통장내역(환율표)'!$D$53</f>
        <v>234.13333106452578</v>
      </c>
      <c r="K47" s="82">
        <f t="shared" si="2"/>
        <v>89435.290000000023</v>
      </c>
      <c r="L47" s="82">
        <f t="shared" si="3"/>
        <v>12521.88600125614</v>
      </c>
      <c r="M47" s="34" t="s">
        <v>287</v>
      </c>
      <c r="N47" s="45">
        <f t="shared" si="4"/>
        <v>12521.883975453673</v>
      </c>
    </row>
    <row r="48" spans="1:14" s="5" customFormat="1" ht="13.5" customHeight="1">
      <c r="A48" s="263">
        <v>44859</v>
      </c>
      <c r="B48" s="261" t="s">
        <v>345</v>
      </c>
      <c r="C48" s="160"/>
      <c r="D48" s="37">
        <v>9</v>
      </c>
      <c r="E48" s="33" t="s">
        <v>411</v>
      </c>
      <c r="F48" s="35"/>
      <c r="G48" s="103"/>
      <c r="H48" s="77"/>
      <c r="I48" s="177">
        <v>20050.329999999998</v>
      </c>
      <c r="J48" s="86">
        <f>I48/'통장내역(환율표)'!$D$53</f>
        <v>2807.2492027812618</v>
      </c>
      <c r="K48" s="82">
        <f t="shared" si="2"/>
        <v>69384.960000000021</v>
      </c>
      <c r="L48" s="82">
        <f t="shared" si="3"/>
        <v>9714.6367984748777</v>
      </c>
      <c r="M48" s="34" t="s">
        <v>287</v>
      </c>
      <c r="N48" s="45">
        <f t="shared" si="4"/>
        <v>9714.6347726724107</v>
      </c>
    </row>
    <row r="49" spans="1:14" s="5" customFormat="1" ht="13.5" customHeight="1">
      <c r="A49" s="263">
        <v>44859</v>
      </c>
      <c r="B49" s="261" t="s">
        <v>340</v>
      </c>
      <c r="C49" s="160"/>
      <c r="D49" s="37">
        <v>9</v>
      </c>
      <c r="E49" s="33" t="s">
        <v>411</v>
      </c>
      <c r="F49" s="35"/>
      <c r="G49" s="103"/>
      <c r="H49" s="77"/>
      <c r="I49" s="177">
        <v>12</v>
      </c>
      <c r="J49" s="86">
        <f>I49/'통장내역(환율표)'!$D$53</f>
        <v>1.6801214959242639</v>
      </c>
      <c r="K49" s="82">
        <f t="shared" si="2"/>
        <v>69372.960000000021</v>
      </c>
      <c r="L49" s="82">
        <f t="shared" si="3"/>
        <v>9712.9566769789526</v>
      </c>
      <c r="M49" s="34"/>
      <c r="N49" s="45">
        <f t="shared" si="4"/>
        <v>9712.9546511764856</v>
      </c>
    </row>
    <row r="50" spans="1:14" s="5" customFormat="1" ht="13.5" customHeight="1">
      <c r="A50" s="263">
        <v>44859</v>
      </c>
      <c r="B50" s="261" t="s">
        <v>396</v>
      </c>
      <c r="C50" s="160"/>
      <c r="D50" s="37">
        <v>10</v>
      </c>
      <c r="E50" s="33" t="s">
        <v>412</v>
      </c>
      <c r="F50" s="35" t="s">
        <v>413</v>
      </c>
      <c r="G50" s="103"/>
      <c r="H50" s="77"/>
      <c r="I50" s="177">
        <v>13071</v>
      </c>
      <c r="J50" s="86">
        <f>I50/'통장내역(환율표)'!$D$53</f>
        <v>1830.0723394355045</v>
      </c>
      <c r="K50" s="82">
        <f t="shared" si="2"/>
        <v>56301.960000000021</v>
      </c>
      <c r="L50" s="82">
        <f t="shared" si="3"/>
        <v>7882.8843375434481</v>
      </c>
      <c r="M50" s="34"/>
      <c r="N50" s="45">
        <f t="shared" si="4"/>
        <v>7882.8823117409811</v>
      </c>
    </row>
    <row r="51" spans="1:14" s="5" customFormat="1" ht="13.5" customHeight="1">
      <c r="A51" s="263">
        <v>44859</v>
      </c>
      <c r="B51" s="261" t="s">
        <v>385</v>
      </c>
      <c r="C51" s="160"/>
      <c r="D51" s="37">
        <v>10</v>
      </c>
      <c r="E51" s="33" t="s">
        <v>411</v>
      </c>
      <c r="F51" s="35"/>
      <c r="G51" s="103"/>
      <c r="H51" s="77"/>
      <c r="I51" s="177">
        <v>7.2</v>
      </c>
      <c r="J51" s="86">
        <f>I51/'통장내역(환율표)'!$D$53</f>
        <v>1.0080728975545583</v>
      </c>
      <c r="K51" s="82">
        <f t="shared" si="2"/>
        <v>56294.760000000024</v>
      </c>
      <c r="L51" s="82">
        <f t="shared" si="3"/>
        <v>7881.8762646458936</v>
      </c>
      <c r="M51" s="34"/>
      <c r="N51" s="45">
        <f t="shared" si="4"/>
        <v>7881.8742388434266</v>
      </c>
    </row>
    <row r="52" spans="1:14" s="5" customFormat="1" ht="13.5" customHeight="1">
      <c r="A52" s="263">
        <v>44859</v>
      </c>
      <c r="B52" s="261" t="s">
        <v>397</v>
      </c>
      <c r="C52" s="160"/>
      <c r="D52" s="37">
        <v>11</v>
      </c>
      <c r="E52" s="33" t="s">
        <v>412</v>
      </c>
      <c r="F52" s="35" t="s">
        <v>413</v>
      </c>
      <c r="G52" s="103"/>
      <c r="H52" s="77"/>
      <c r="I52" s="177">
        <v>879.48</v>
      </c>
      <c r="J52" s="86">
        <f>I52/'통장내역(환율표)'!$D$53</f>
        <v>123.1361044362893</v>
      </c>
      <c r="K52" s="82">
        <f t="shared" si="2"/>
        <v>55415.280000000021</v>
      </c>
      <c r="L52" s="82">
        <f t="shared" si="3"/>
        <v>7758.7401602096043</v>
      </c>
      <c r="M52" s="34"/>
      <c r="N52" s="45">
        <f t="shared" si="4"/>
        <v>7758.7381344071373</v>
      </c>
    </row>
    <row r="53" spans="1:14" s="5" customFormat="1" ht="13.5" customHeight="1">
      <c r="A53" s="263">
        <v>44859</v>
      </c>
      <c r="B53" s="261" t="s">
        <v>385</v>
      </c>
      <c r="C53" s="160"/>
      <c r="D53" s="37">
        <v>11</v>
      </c>
      <c r="E53" s="33" t="s">
        <v>411</v>
      </c>
      <c r="F53" s="35"/>
      <c r="G53" s="103"/>
      <c r="H53" s="77"/>
      <c r="I53" s="177">
        <v>3.6</v>
      </c>
      <c r="J53" s="86">
        <f>I53/'통장내역(환율표)'!$D$53</f>
        <v>0.50403644877727916</v>
      </c>
      <c r="K53" s="82">
        <f t="shared" ref="K53:K70" si="5">K52+G53-I53</f>
        <v>55411.680000000022</v>
      </c>
      <c r="L53" s="82">
        <f t="shared" ref="L53:L70" si="6">L52+H53-J53</f>
        <v>7758.2361237608266</v>
      </c>
      <c r="M53" s="34"/>
      <c r="N53" s="45">
        <f t="shared" si="4"/>
        <v>7758.2340979583596</v>
      </c>
    </row>
    <row r="54" spans="1:14" s="5" customFormat="1" ht="13.5" customHeight="1">
      <c r="A54" s="263">
        <v>44859</v>
      </c>
      <c r="B54" s="261" t="s">
        <v>398</v>
      </c>
      <c r="C54" s="160"/>
      <c r="D54" s="37">
        <v>12</v>
      </c>
      <c r="E54" s="33" t="s">
        <v>414</v>
      </c>
      <c r="F54" s="35" t="s">
        <v>416</v>
      </c>
      <c r="G54" s="103"/>
      <c r="H54" s="77"/>
      <c r="I54" s="177">
        <v>133.5</v>
      </c>
      <c r="J54" s="86">
        <f>I54/'통장내역(환율표)'!$D$53</f>
        <v>18.691351642157436</v>
      </c>
      <c r="K54" s="82">
        <f t="shared" si="5"/>
        <v>55278.180000000022</v>
      </c>
      <c r="L54" s="82">
        <f t="shared" si="6"/>
        <v>7739.5447721186692</v>
      </c>
      <c r="M54" s="34"/>
      <c r="N54" s="45">
        <f t="shared" si="4"/>
        <v>7739.5427463162023</v>
      </c>
    </row>
    <row r="55" spans="1:14" s="5" customFormat="1" ht="13.5" customHeight="1">
      <c r="A55" s="263">
        <v>44859</v>
      </c>
      <c r="B55" s="261" t="s">
        <v>385</v>
      </c>
      <c r="C55" s="160"/>
      <c r="D55" s="37">
        <v>12</v>
      </c>
      <c r="E55" s="33" t="s">
        <v>411</v>
      </c>
      <c r="F55" s="35"/>
      <c r="G55" s="103"/>
      <c r="H55" s="77"/>
      <c r="I55" s="177">
        <v>3.6</v>
      </c>
      <c r="J55" s="86">
        <f>I55/'통장내역(환율표)'!$D$53</f>
        <v>0.50403644877727916</v>
      </c>
      <c r="K55" s="82">
        <f t="shared" si="5"/>
        <v>55274.580000000024</v>
      </c>
      <c r="L55" s="82">
        <f t="shared" si="6"/>
        <v>7739.0407356698915</v>
      </c>
      <c r="M55" s="34"/>
      <c r="N55" s="45">
        <f t="shared" si="4"/>
        <v>7739.0387098674246</v>
      </c>
    </row>
    <row r="56" spans="1:14" s="5" customFormat="1" ht="13.5" customHeight="1">
      <c r="A56" s="263">
        <v>44859</v>
      </c>
      <c r="B56" s="261" t="s">
        <v>399</v>
      </c>
      <c r="C56" s="160"/>
      <c r="D56" s="37">
        <v>13</v>
      </c>
      <c r="E56" s="33" t="s">
        <v>415</v>
      </c>
      <c r="F56" s="35"/>
      <c r="G56" s="103"/>
      <c r="H56" s="77"/>
      <c r="I56" s="177">
        <v>2088</v>
      </c>
      <c r="J56" s="86">
        <f>I56/'통장내역(환율표)'!$D$53</f>
        <v>292.3411402908219</v>
      </c>
      <c r="K56" s="82">
        <f t="shared" si="5"/>
        <v>53186.580000000024</v>
      </c>
      <c r="L56" s="82">
        <f t="shared" si="6"/>
        <v>7446.6995953790693</v>
      </c>
      <c r="M56" s="34"/>
      <c r="N56" s="45">
        <f t="shared" si="4"/>
        <v>7446.6975695766023</v>
      </c>
    </row>
    <row r="57" spans="1:14" s="5" customFormat="1" ht="13.5" customHeight="1">
      <c r="A57" s="263">
        <v>44859</v>
      </c>
      <c r="B57" s="261" t="s">
        <v>385</v>
      </c>
      <c r="C57" s="160"/>
      <c r="D57" s="37">
        <v>13</v>
      </c>
      <c r="E57" s="33" t="s">
        <v>411</v>
      </c>
      <c r="F57" s="35"/>
      <c r="G57" s="103"/>
      <c r="H57" s="77"/>
      <c r="I57" s="177">
        <v>3.6</v>
      </c>
      <c r="J57" s="86">
        <f>I57/'통장내역(환율표)'!$D$53</f>
        <v>0.50403644877727916</v>
      </c>
      <c r="K57" s="82">
        <f t="shared" si="5"/>
        <v>53182.980000000025</v>
      </c>
      <c r="L57" s="82">
        <f t="shared" si="6"/>
        <v>7446.1955589302916</v>
      </c>
      <c r="M57" s="34"/>
      <c r="N57" s="45">
        <f t="shared" si="4"/>
        <v>7446.1935331278246</v>
      </c>
    </row>
    <row r="58" spans="1:14" s="5" customFormat="1" ht="13.5" customHeight="1">
      <c r="A58" s="263">
        <v>44859</v>
      </c>
      <c r="B58" s="261" t="s">
        <v>400</v>
      </c>
      <c r="C58" s="160"/>
      <c r="D58" s="37">
        <v>14</v>
      </c>
      <c r="E58" s="33" t="s">
        <v>414</v>
      </c>
      <c r="F58" s="35" t="s">
        <v>416</v>
      </c>
      <c r="G58" s="103"/>
      <c r="H58" s="77"/>
      <c r="I58" s="177">
        <v>199</v>
      </c>
      <c r="J58" s="86">
        <f>I58/'통장내역(환율표)'!$D$53</f>
        <v>27.862014807410709</v>
      </c>
      <c r="K58" s="82">
        <f t="shared" si="5"/>
        <v>52983.980000000025</v>
      </c>
      <c r="L58" s="82">
        <f t="shared" si="6"/>
        <v>7418.333544122881</v>
      </c>
      <c r="M58" s="34"/>
      <c r="N58" s="45">
        <f t="shared" si="4"/>
        <v>7418.331518320414</v>
      </c>
    </row>
    <row r="59" spans="1:14" s="5" customFormat="1" ht="13.5" customHeight="1">
      <c r="A59" s="263">
        <v>44859</v>
      </c>
      <c r="B59" s="261" t="s">
        <v>385</v>
      </c>
      <c r="C59" s="160"/>
      <c r="D59" s="37">
        <v>14</v>
      </c>
      <c r="E59" s="33" t="s">
        <v>411</v>
      </c>
      <c r="F59" s="35"/>
      <c r="G59" s="103"/>
      <c r="H59" s="77"/>
      <c r="I59" s="177">
        <v>3.6</v>
      </c>
      <c r="J59" s="86">
        <f>I59/'통장내역(환율표)'!$D$53</f>
        <v>0.50403644877727916</v>
      </c>
      <c r="K59" s="82">
        <f t="shared" si="5"/>
        <v>52980.380000000026</v>
      </c>
      <c r="L59" s="82">
        <f t="shared" si="6"/>
        <v>7417.8295076741033</v>
      </c>
      <c r="M59" s="34"/>
      <c r="N59" s="45">
        <f t="shared" si="4"/>
        <v>7417.8274818716363</v>
      </c>
    </row>
    <row r="60" spans="1:14" s="5" customFormat="1" ht="13.5" customHeight="1">
      <c r="A60" s="263">
        <v>44859</v>
      </c>
      <c r="B60" s="261" t="s">
        <v>401</v>
      </c>
      <c r="C60" s="160"/>
      <c r="D60" s="37">
        <v>15</v>
      </c>
      <c r="E60" s="33" t="s">
        <v>411</v>
      </c>
      <c r="F60" s="35"/>
      <c r="G60" s="103"/>
      <c r="H60" s="77"/>
      <c r="I60" s="177">
        <v>600</v>
      </c>
      <c r="J60" s="86">
        <f>I60/'통장내역(환율표)'!$D$53</f>
        <v>84.006074796213198</v>
      </c>
      <c r="K60" s="82">
        <f t="shared" si="5"/>
        <v>52380.380000000026</v>
      </c>
      <c r="L60" s="82">
        <f t="shared" si="6"/>
        <v>7333.8234328778899</v>
      </c>
      <c r="M60" s="34"/>
      <c r="N60" s="45">
        <f t="shared" si="4"/>
        <v>7333.8214070754229</v>
      </c>
    </row>
    <row r="61" spans="1:14" s="5" customFormat="1" ht="13.5" customHeight="1">
      <c r="A61" s="263">
        <v>44859</v>
      </c>
      <c r="B61" s="261" t="s">
        <v>402</v>
      </c>
      <c r="C61" s="160"/>
      <c r="D61" s="37">
        <v>15</v>
      </c>
      <c r="E61" s="33" t="s">
        <v>411</v>
      </c>
      <c r="F61" s="35"/>
      <c r="G61" s="103"/>
      <c r="H61" s="77"/>
      <c r="I61" s="177">
        <v>36</v>
      </c>
      <c r="J61" s="86">
        <f>I61/'통장내역(환율표)'!$D$53</f>
        <v>5.0403644877727913</v>
      </c>
      <c r="K61" s="82">
        <f t="shared" si="5"/>
        <v>52344.380000000026</v>
      </c>
      <c r="L61" s="82">
        <f t="shared" si="6"/>
        <v>7328.7830683901175</v>
      </c>
      <c r="M61" s="34"/>
      <c r="N61" s="45">
        <f t="shared" si="4"/>
        <v>7328.7810425876505</v>
      </c>
    </row>
    <row r="62" spans="1:14" s="5" customFormat="1" ht="13.5" customHeight="1">
      <c r="A62" s="263">
        <v>44859</v>
      </c>
      <c r="B62" s="261" t="s">
        <v>403</v>
      </c>
      <c r="C62" s="160"/>
      <c r="D62" s="37">
        <v>15</v>
      </c>
      <c r="E62" s="33" t="s">
        <v>411</v>
      </c>
      <c r="F62" s="35"/>
      <c r="G62" s="103"/>
      <c r="H62" s="77"/>
      <c r="I62" s="177">
        <v>146</v>
      </c>
      <c r="J62" s="86">
        <f>I62/'통장내역(환율표)'!$D$53</f>
        <v>20.441478200411879</v>
      </c>
      <c r="K62" s="82">
        <f t="shared" si="5"/>
        <v>52198.380000000026</v>
      </c>
      <c r="L62" s="82">
        <f t="shared" si="6"/>
        <v>7308.341590189706</v>
      </c>
      <c r="M62" s="34"/>
      <c r="N62" s="45">
        <f t="shared" si="4"/>
        <v>7308.3395643872391</v>
      </c>
    </row>
    <row r="63" spans="1:14" s="5" customFormat="1" ht="13.5" customHeight="1">
      <c r="A63" s="263">
        <v>44859</v>
      </c>
      <c r="B63" s="261" t="s">
        <v>385</v>
      </c>
      <c r="C63" s="160"/>
      <c r="D63" s="37">
        <v>15</v>
      </c>
      <c r="E63" s="33" t="s">
        <v>411</v>
      </c>
      <c r="F63" s="35"/>
      <c r="G63" s="103"/>
      <c r="H63" s="77"/>
      <c r="I63" s="177">
        <v>3.6</v>
      </c>
      <c r="J63" s="86">
        <f>I63/'통장내역(환율표)'!$D$53</f>
        <v>0.50403644877727916</v>
      </c>
      <c r="K63" s="82">
        <f t="shared" si="5"/>
        <v>52194.780000000028</v>
      </c>
      <c r="L63" s="82">
        <f t="shared" si="6"/>
        <v>7307.8375537409283</v>
      </c>
      <c r="M63" s="34"/>
      <c r="N63" s="45">
        <f t="shared" si="4"/>
        <v>7307.8355279384614</v>
      </c>
    </row>
    <row r="64" spans="1:14" s="5" customFormat="1" ht="13.5" customHeight="1">
      <c r="A64" s="263">
        <v>44859</v>
      </c>
      <c r="B64" s="261" t="s">
        <v>384</v>
      </c>
      <c r="C64" s="160"/>
      <c r="D64" s="37">
        <v>16</v>
      </c>
      <c r="E64" s="33" t="s">
        <v>414</v>
      </c>
      <c r="F64" s="35" t="s">
        <v>416</v>
      </c>
      <c r="G64" s="103"/>
      <c r="H64" s="77"/>
      <c r="I64" s="177">
        <v>796.5</v>
      </c>
      <c r="J64" s="86">
        <f>I64/'통장내역(환율표)'!$D$53</f>
        <v>111.51806429197302</v>
      </c>
      <c r="K64" s="82">
        <f t="shared" si="5"/>
        <v>51398.280000000028</v>
      </c>
      <c r="L64" s="82">
        <f t="shared" si="6"/>
        <v>7196.3194894489552</v>
      </c>
      <c r="M64" s="34"/>
      <c r="N64" s="45">
        <f t="shared" si="4"/>
        <v>7196.3174636464882</v>
      </c>
    </row>
    <row r="65" spans="1:14" s="5" customFormat="1" ht="13.5" customHeight="1">
      <c r="A65" s="263">
        <v>44859</v>
      </c>
      <c r="B65" s="261" t="s">
        <v>385</v>
      </c>
      <c r="C65" s="160"/>
      <c r="D65" s="37">
        <v>16</v>
      </c>
      <c r="E65" s="33" t="s">
        <v>411</v>
      </c>
      <c r="F65" s="35"/>
      <c r="G65" s="103"/>
      <c r="H65" s="77"/>
      <c r="I65" s="177">
        <v>3.6</v>
      </c>
      <c r="J65" s="86">
        <f>I65/'통장내역(환율표)'!$D$53</f>
        <v>0.50403644877727916</v>
      </c>
      <c r="K65" s="82">
        <f t="shared" si="5"/>
        <v>51394.680000000029</v>
      </c>
      <c r="L65" s="82">
        <f t="shared" si="6"/>
        <v>7195.8154530001775</v>
      </c>
      <c r="N65" s="45">
        <f t="shared" si="4"/>
        <v>7195.8134271977106</v>
      </c>
    </row>
    <row r="66" spans="1:14" s="5" customFormat="1" ht="13.5" customHeight="1">
      <c r="A66" s="263">
        <v>44859</v>
      </c>
      <c r="B66" s="261" t="s">
        <v>385</v>
      </c>
      <c r="C66" s="160"/>
      <c r="D66" s="37">
        <v>17</v>
      </c>
      <c r="E66" s="33" t="s">
        <v>411</v>
      </c>
      <c r="F66" s="35"/>
      <c r="G66" s="103"/>
      <c r="H66" s="77"/>
      <c r="I66" s="177">
        <v>3.6</v>
      </c>
      <c r="J66" s="86">
        <f>I66/'통장내역(환율표)'!$D$53</f>
        <v>0.50403644877727916</v>
      </c>
      <c r="K66" s="82">
        <f t="shared" si="5"/>
        <v>51391.080000000031</v>
      </c>
      <c r="L66" s="82">
        <f t="shared" si="6"/>
        <v>7195.3114165513998</v>
      </c>
      <c r="M66" s="34" t="s">
        <v>418</v>
      </c>
      <c r="N66" s="45">
        <f t="shared" si="4"/>
        <v>7195.3093907489329</v>
      </c>
    </row>
    <row r="67" spans="1:14" s="5" customFormat="1" ht="13.5" customHeight="1">
      <c r="A67" s="263">
        <v>44859</v>
      </c>
      <c r="B67" s="261" t="s">
        <v>408</v>
      </c>
      <c r="C67" s="160"/>
      <c r="D67" s="37">
        <v>18</v>
      </c>
      <c r="E67" s="33" t="s">
        <v>411</v>
      </c>
      <c r="F67" s="35"/>
      <c r="G67" s="103"/>
      <c r="H67" s="77"/>
      <c r="I67" s="177">
        <v>12868.42</v>
      </c>
      <c r="J67" s="86">
        <f>I67/'통장내역(환율표)'!$D$53</f>
        <v>1801.7090883818098</v>
      </c>
      <c r="K67" s="82">
        <f t="shared" si="5"/>
        <v>38522.660000000033</v>
      </c>
      <c r="L67" s="82">
        <f t="shared" si="6"/>
        <v>5393.6023281695898</v>
      </c>
      <c r="M67" s="34" t="s">
        <v>417</v>
      </c>
      <c r="N67" s="45">
        <f t="shared" si="4"/>
        <v>5393.6003023671228</v>
      </c>
    </row>
    <row r="68" spans="1:14" s="5" customFormat="1" ht="13.5" customHeight="1">
      <c r="A68" s="263">
        <v>44859</v>
      </c>
      <c r="B68" s="261" t="s">
        <v>385</v>
      </c>
      <c r="C68" s="160"/>
      <c r="D68" s="37">
        <v>18</v>
      </c>
      <c r="E68" s="33" t="s">
        <v>411</v>
      </c>
      <c r="F68" s="35"/>
      <c r="G68" s="103"/>
      <c r="H68" s="77"/>
      <c r="I68" s="177">
        <v>7.2</v>
      </c>
      <c r="J68" s="86">
        <f>I68/'통장내역(환율표)'!$D$53</f>
        <v>1.0080728975545583</v>
      </c>
      <c r="K68" s="82">
        <f t="shared" si="5"/>
        <v>38515.460000000036</v>
      </c>
      <c r="L68" s="82">
        <f t="shared" si="6"/>
        <v>5392.5942552720353</v>
      </c>
      <c r="M68" s="34"/>
      <c r="N68" s="45">
        <f t="shared" si="4"/>
        <v>5392.5922294695683</v>
      </c>
    </row>
    <row r="69" spans="1:14" s="5" customFormat="1" ht="13.5" customHeight="1">
      <c r="A69" s="263">
        <v>44859</v>
      </c>
      <c r="B69" s="261" t="s">
        <v>404</v>
      </c>
      <c r="C69" s="160"/>
      <c r="D69" s="37">
        <v>19</v>
      </c>
      <c r="E69" s="33" t="s">
        <v>411</v>
      </c>
      <c r="F69" s="35"/>
      <c r="G69" s="103"/>
      <c r="H69" s="77"/>
      <c r="I69" s="177">
        <v>1753.3313295260996</v>
      </c>
      <c r="J69" s="86">
        <f>I69/'통장내역(환율표)'!$D$53</f>
        <v>245.48413801785574</v>
      </c>
      <c r="K69" s="82">
        <f t="shared" si="5"/>
        <v>36762.128670473932</v>
      </c>
      <c r="L69" s="82">
        <f t="shared" si="6"/>
        <v>5147.1101172541794</v>
      </c>
      <c r="M69" s="34"/>
      <c r="N69" s="45">
        <f t="shared" si="4"/>
        <v>5147.1080914517124</v>
      </c>
    </row>
    <row r="70" spans="1:14" s="5" customFormat="1" ht="13.5" customHeight="1">
      <c r="A70" s="263">
        <v>44859</v>
      </c>
      <c r="B70" s="261" t="s">
        <v>385</v>
      </c>
      <c r="C70" s="160"/>
      <c r="D70" s="37">
        <v>19</v>
      </c>
      <c r="E70" s="33" t="s">
        <v>411</v>
      </c>
      <c r="F70" s="35"/>
      <c r="G70" s="103"/>
      <c r="H70" s="77"/>
      <c r="I70" s="177">
        <v>3.6</v>
      </c>
      <c r="J70" s="86">
        <f>I70/'통장내역(환율표)'!$D$53</f>
        <v>0.50403644877727916</v>
      </c>
      <c r="K70" s="82">
        <f t="shared" si="5"/>
        <v>36758.528670473934</v>
      </c>
      <c r="L70" s="82">
        <f t="shared" si="6"/>
        <v>5146.6060808054017</v>
      </c>
      <c r="M70" s="34"/>
      <c r="N70" s="45">
        <f t="shared" si="4"/>
        <v>5146.6040550029347</v>
      </c>
    </row>
    <row r="71" spans="1:14" s="5" customFormat="1" ht="13.5" customHeight="1">
      <c r="A71" s="263">
        <v>44862</v>
      </c>
      <c r="B71" s="261" t="s">
        <v>405</v>
      </c>
      <c r="C71" s="160"/>
      <c r="D71" s="37">
        <v>20</v>
      </c>
      <c r="E71" s="33" t="s">
        <v>411</v>
      </c>
      <c r="F71" s="35"/>
      <c r="G71" s="103"/>
      <c r="H71" s="77"/>
      <c r="I71" s="177">
        <v>1662.83</v>
      </c>
      <c r="J71" s="86">
        <f>I71/'통장내역(환율표)'!$D$53</f>
        <v>232.81303558897864</v>
      </c>
      <c r="K71" s="82">
        <f>K70+G71-I71</f>
        <v>35095.698670473932</v>
      </c>
      <c r="L71" s="82">
        <f>L70+H71-J71</f>
        <v>4913.7930452164228</v>
      </c>
      <c r="M71" s="34"/>
      <c r="N71" s="45">
        <f>N70-J71+H71</f>
        <v>4913.7910194139558</v>
      </c>
    </row>
    <row r="72" spans="1:14" s="5" customFormat="1" ht="13.5" customHeight="1">
      <c r="A72" s="263">
        <v>44862</v>
      </c>
      <c r="B72" s="261" t="s">
        <v>385</v>
      </c>
      <c r="C72" s="160"/>
      <c r="D72" s="37">
        <v>20</v>
      </c>
      <c r="E72" s="33" t="s">
        <v>411</v>
      </c>
      <c r="F72" s="35"/>
      <c r="G72" s="103"/>
      <c r="H72" s="77"/>
      <c r="I72" s="177">
        <v>3.6</v>
      </c>
      <c r="J72" s="86">
        <f>I72/'통장내역(환율표)'!$D$53</f>
        <v>0.50403644877727916</v>
      </c>
      <c r="K72" s="82">
        <f>K71+G72-I72</f>
        <v>35092.098670473933</v>
      </c>
      <c r="L72" s="82">
        <f>L71+H72-J72</f>
        <v>4913.2890087676451</v>
      </c>
      <c r="M72" s="34"/>
      <c r="N72" s="45">
        <f>N71-J72+H72</f>
        <v>4913.2869829651781</v>
      </c>
    </row>
    <row r="73" spans="1:14">
      <c r="I73" s="259"/>
    </row>
  </sheetData>
  <autoFilter ref="A16:N76" xr:uid="{00000000-0009-0000-0000-000009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N65"/>
  <sheetViews>
    <sheetView showGridLines="0" topLeftCell="A10" zoomScaleNormal="100" workbookViewId="0">
      <selection activeCell="E53" sqref="E52:E53"/>
    </sheetView>
  </sheetViews>
  <sheetFormatPr defaultRowHeight="16.5"/>
  <cols>
    <col min="1" max="1" width="10.25" bestFit="1" customWidth="1"/>
    <col min="2" max="2" width="30.75" customWidth="1"/>
    <col min="3" max="3" width="9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9.625" bestFit="1" customWidth="1"/>
  </cols>
  <sheetData>
    <row r="1" spans="1:13" ht="24">
      <c r="A1" s="1" t="s">
        <v>446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25">
      <c r="A2" s="5" t="s">
        <v>419</v>
      </c>
      <c r="B2" s="2"/>
      <c r="C2" s="2"/>
      <c r="E2" s="4">
        <v>100069659</v>
      </c>
      <c r="F2" s="7"/>
      <c r="G2" s="5" t="s">
        <v>448</v>
      </c>
      <c r="H2" s="2"/>
      <c r="I2" s="2"/>
      <c r="K2" s="4">
        <v>100069665</v>
      </c>
      <c r="L2" s="139">
        <v>1200000696</v>
      </c>
    </row>
    <row r="3" spans="1:13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4902</v>
      </c>
      <c r="J5" s="116">
        <v>685.39111303621496</v>
      </c>
      <c r="K5" s="117">
        <v>937819</v>
      </c>
      <c r="L5" s="248">
        <f t="shared" ref="L5:L10" si="0">K5+E5</f>
        <v>937819</v>
      </c>
    </row>
    <row r="6" spans="1:13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3271.04</v>
      </c>
      <c r="J6" s="116">
        <v>457.35245744308054</v>
      </c>
      <c r="K6" s="117">
        <v>625792</v>
      </c>
      <c r="L6" s="248">
        <f t="shared" si="0"/>
        <v>625792</v>
      </c>
    </row>
    <row r="7" spans="1:13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2718.0749158351732</v>
      </c>
      <c r="K7" s="117">
        <v>3719135</v>
      </c>
      <c r="L7" s="248">
        <f t="shared" si="0"/>
        <v>3719135</v>
      </c>
    </row>
    <row r="8" spans="1:13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1468.0960193554176</v>
      </c>
      <c r="K8" s="117">
        <v>2008801</v>
      </c>
      <c r="L8" s="248">
        <f t="shared" si="0"/>
        <v>2008801</v>
      </c>
    </row>
    <row r="9" spans="1:13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695</v>
      </c>
      <c r="J9" s="116">
        <v>97.173974614477657</v>
      </c>
      <c r="K9" s="117">
        <v>132958</v>
      </c>
      <c r="L9" s="248">
        <f t="shared" si="0"/>
        <v>132958</v>
      </c>
    </row>
    <row r="10" spans="1:13" s="5" customFormat="1" ht="13.5">
      <c r="A10" s="114" t="s">
        <v>62</v>
      </c>
      <c r="B10" s="115"/>
      <c r="C10" s="116">
        <v>35092.369176044333</v>
      </c>
      <c r="D10" s="116">
        <v>4913.286982965179</v>
      </c>
      <c r="E10" s="117">
        <v>6929213</v>
      </c>
      <c r="F10" s="121">
        <v>51321010</v>
      </c>
      <c r="G10" s="114" t="s">
        <v>62</v>
      </c>
      <c r="H10" s="115"/>
      <c r="I10" s="116">
        <v>87962.150823955686</v>
      </c>
      <c r="J10" s="116">
        <v>12324.750807484785</v>
      </c>
      <c r="K10" s="117">
        <v>16863955</v>
      </c>
      <c r="L10" s="248">
        <f t="shared" si="0"/>
        <v>23793168</v>
      </c>
    </row>
    <row r="11" spans="1:13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.5">
      <c r="A12" s="1493" t="s">
        <v>299</v>
      </c>
      <c r="B12" s="1494"/>
      <c r="C12" s="124">
        <f>SUM(C4:C11)</f>
        <v>35092.369176044333</v>
      </c>
      <c r="D12" s="124">
        <f>SUM(D4:D11)</f>
        <v>4913.286982965179</v>
      </c>
      <c r="E12" s="125">
        <f>SUM(E4:E11)</f>
        <v>6929213</v>
      </c>
      <c r="F12" s="121">
        <v>52981010</v>
      </c>
      <c r="G12" s="1493" t="s">
        <v>299</v>
      </c>
      <c r="H12" s="1494"/>
      <c r="I12" s="124">
        <f>SUM(I4:I11)</f>
        <v>126770.19082395569</v>
      </c>
      <c r="J12" s="124">
        <f>SUM(J4:J11)</f>
        <v>17750.839287769148</v>
      </c>
      <c r="K12" s="125">
        <f>SUM(K4:K10)</f>
        <v>24288460</v>
      </c>
      <c r="L12" s="119"/>
    </row>
    <row r="13" spans="1:13" s="5" customFormat="1" ht="13.5">
      <c r="A13" s="126"/>
      <c r="B13" s="127"/>
      <c r="C13" s="128">
        <f>C12+I12</f>
        <v>161862.56000000003</v>
      </c>
      <c r="D13" s="128">
        <f>D12+J12</f>
        <v>22664.126270734327</v>
      </c>
      <c r="E13" s="250">
        <f>E12+K12</f>
        <v>31217673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SUBTOTAL(9,H17:H64)</f>
        <v>22744.400000000001</v>
      </c>
      <c r="I14" s="137">
        <f>SUBTOTAL(9,I17:I79)</f>
        <v>161862.56000000008</v>
      </c>
      <c r="J14" s="137">
        <f>SUBTOTAL(9,J17:J77)</f>
        <v>22664.12039818407</v>
      </c>
      <c r="K14" s="139"/>
      <c r="L14" s="45"/>
    </row>
    <row r="15" spans="1:13" s="5" customFormat="1" ht="13.5">
      <c r="A15" s="1495" t="s">
        <v>300</v>
      </c>
      <c r="B15" s="1497" t="s">
        <v>25</v>
      </c>
      <c r="C15" s="1497"/>
      <c r="D15" s="1497" t="s">
        <v>26</v>
      </c>
      <c r="E15" s="1497" t="s">
        <v>1</v>
      </c>
      <c r="F15" s="1499" t="s">
        <v>2</v>
      </c>
      <c r="G15" s="1501" t="s">
        <v>232</v>
      </c>
      <c r="H15" s="1503"/>
      <c r="I15" s="1501" t="s">
        <v>30</v>
      </c>
      <c r="J15" s="1503"/>
      <c r="K15" s="1504" t="s">
        <v>31</v>
      </c>
      <c r="L15" s="1490"/>
      <c r="M15" s="1491" t="s">
        <v>32</v>
      </c>
    </row>
    <row r="16" spans="1:13" s="5" customFormat="1" ht="14.25" customHeight="1">
      <c r="A16" s="1506"/>
      <c r="B16" s="1507"/>
      <c r="C16" s="1507"/>
      <c r="D16" s="1507"/>
      <c r="E16" s="1507"/>
      <c r="F16" s="1508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5"/>
    </row>
    <row r="17" spans="1:14" s="5" customFormat="1" ht="13.5" customHeight="1">
      <c r="A17" s="105">
        <v>44865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35092.098670473933</v>
      </c>
      <c r="L17" s="108">
        <v>4913.2890087676451</v>
      </c>
      <c r="M17" s="106"/>
      <c r="N17" s="45">
        <v>4913.2869829651781</v>
      </c>
    </row>
    <row r="18" spans="1:14" s="5" customFormat="1" ht="13.5" customHeight="1">
      <c r="A18" s="57">
        <v>44876</v>
      </c>
      <c r="B18" s="181" t="s">
        <v>421</v>
      </c>
      <c r="C18" s="182"/>
      <c r="D18" s="60"/>
      <c r="E18" s="59"/>
      <c r="F18" s="61"/>
      <c r="G18" s="183">
        <v>162484.74</v>
      </c>
      <c r="H18" s="78">
        <v>22744.400000000001</v>
      </c>
      <c r="I18" s="184"/>
      <c r="J18" s="102"/>
      <c r="K18" s="83">
        <f t="shared" ref="K18:K64" si="1">K17+G18-I18</f>
        <v>197576.83867047392</v>
      </c>
      <c r="L18" s="62">
        <f t="shared" ref="L18:L64" si="2">L17+H18-J18</f>
        <v>27657.689008767647</v>
      </c>
      <c r="M18" s="58"/>
      <c r="N18" s="45"/>
    </row>
    <row r="19" spans="1:14" s="5" customFormat="1" ht="13.5" customHeight="1">
      <c r="A19" s="57">
        <v>44876</v>
      </c>
      <c r="B19" s="260" t="s">
        <v>445</v>
      </c>
      <c r="C19" s="182"/>
      <c r="D19" s="60">
        <v>1</v>
      </c>
      <c r="E19" s="59" t="s">
        <v>435</v>
      </c>
      <c r="F19" s="61"/>
      <c r="G19" s="183"/>
      <c r="H19" s="78"/>
      <c r="I19" s="184"/>
      <c r="J19" s="258">
        <v>26</v>
      </c>
      <c r="K19" s="83">
        <f t="shared" si="1"/>
        <v>197576.83867047392</v>
      </c>
      <c r="L19" s="62">
        <f t="shared" si="2"/>
        <v>27631.689008767647</v>
      </c>
      <c r="M19" s="58"/>
      <c r="N19" s="45"/>
    </row>
    <row r="20" spans="1:14" s="5" customFormat="1" ht="13.5" customHeight="1">
      <c r="A20" s="263">
        <v>44890</v>
      </c>
      <c r="B20" s="261" t="s">
        <v>130</v>
      </c>
      <c r="C20" s="160"/>
      <c r="D20" s="37">
        <v>2</v>
      </c>
      <c r="E20" s="33" t="s">
        <v>435</v>
      </c>
      <c r="F20" s="35"/>
      <c r="G20" s="103"/>
      <c r="H20" s="77"/>
      <c r="I20" s="177">
        <v>300</v>
      </c>
      <c r="J20" s="86">
        <f>I20/'통장내역(환율표)'!$D$53</f>
        <v>42.003037398106599</v>
      </c>
      <c r="K20" s="82">
        <f t="shared" si="1"/>
        <v>197276.83867047392</v>
      </c>
      <c r="L20" s="38">
        <f t="shared" si="2"/>
        <v>27589.685971369541</v>
      </c>
      <c r="M20" s="34" t="s">
        <v>188</v>
      </c>
      <c r="N20" s="45">
        <f>N17-J20+H20</f>
        <v>4871.2839455670719</v>
      </c>
    </row>
    <row r="21" spans="1:14" s="5" customFormat="1" ht="13.5" customHeight="1">
      <c r="A21" s="263">
        <v>44890</v>
      </c>
      <c r="B21" s="261" t="s">
        <v>131</v>
      </c>
      <c r="C21" s="160"/>
      <c r="D21" s="37">
        <v>2</v>
      </c>
      <c r="E21" s="33" t="s">
        <v>435</v>
      </c>
      <c r="F21" s="35"/>
      <c r="G21" s="103"/>
      <c r="H21" s="77"/>
      <c r="I21" s="177">
        <v>7599.43</v>
      </c>
      <c r="J21" s="86">
        <f>I21/'통장내역(환율표)'!$D$53</f>
        <v>1063.9971416476442</v>
      </c>
      <c r="K21" s="82">
        <f t="shared" si="1"/>
        <v>189677.40867047393</v>
      </c>
      <c r="L21" s="38">
        <f t="shared" si="2"/>
        <v>26525.688829721897</v>
      </c>
      <c r="M21" s="34" t="s">
        <v>188</v>
      </c>
      <c r="N21" s="45">
        <f>N20-J21+H21</f>
        <v>3807.2868039194277</v>
      </c>
    </row>
    <row r="22" spans="1:14" s="5" customFormat="1" ht="13.5" customHeight="1">
      <c r="A22" s="263">
        <v>44890</v>
      </c>
      <c r="B22" s="261" t="s">
        <v>133</v>
      </c>
      <c r="C22" s="160"/>
      <c r="D22" s="37">
        <v>2</v>
      </c>
      <c r="E22" s="33" t="s">
        <v>435</v>
      </c>
      <c r="F22" s="35"/>
      <c r="G22" s="103"/>
      <c r="H22" s="77"/>
      <c r="I22" s="177">
        <v>5104.5799999999981</v>
      </c>
      <c r="J22" s="86">
        <f>I22/'통장내역(환율표)'!$D$53</f>
        <v>714.69288213875632</v>
      </c>
      <c r="K22" s="82">
        <f t="shared" si="1"/>
        <v>184572.82867047394</v>
      </c>
      <c r="L22" s="38">
        <f t="shared" si="2"/>
        <v>25810.995947583142</v>
      </c>
      <c r="M22" s="34" t="s">
        <v>188</v>
      </c>
      <c r="N22" s="45">
        <f>N21-J22+H22</f>
        <v>3092.5939217806713</v>
      </c>
    </row>
    <row r="23" spans="1:14" s="5" customFormat="1" ht="13.5" customHeight="1">
      <c r="A23" s="263">
        <v>44890</v>
      </c>
      <c r="B23" s="261" t="s">
        <v>132</v>
      </c>
      <c r="C23" s="160"/>
      <c r="D23" s="37">
        <v>2</v>
      </c>
      <c r="E23" s="33" t="s">
        <v>435</v>
      </c>
      <c r="F23" s="35"/>
      <c r="G23" s="103"/>
      <c r="H23" s="77"/>
      <c r="I23" s="177">
        <v>13500</v>
      </c>
      <c r="J23" s="86">
        <f>I23/'통장내역(환율표)'!$D$53</f>
        <v>1890.1366829147969</v>
      </c>
      <c r="K23" s="82">
        <f t="shared" si="1"/>
        <v>171072.82867047394</v>
      </c>
      <c r="L23" s="38">
        <f t="shared" si="2"/>
        <v>23920.859264668346</v>
      </c>
      <c r="M23" s="34" t="s">
        <v>188</v>
      </c>
      <c r="N23" s="45">
        <f>N22-J23+H23</f>
        <v>1202.4572388658744</v>
      </c>
    </row>
    <row r="24" spans="1:14" s="5" customFormat="1" ht="13.5" customHeight="1">
      <c r="A24" s="263">
        <v>44890</v>
      </c>
      <c r="B24" s="261" t="s">
        <v>433</v>
      </c>
      <c r="C24" s="160"/>
      <c r="D24" s="37">
        <v>2</v>
      </c>
      <c r="E24" s="33" t="s">
        <v>435</v>
      </c>
      <c r="F24" s="35"/>
      <c r="G24" s="103"/>
      <c r="H24" s="77"/>
      <c r="I24" s="177">
        <f>J24*'통장내역(환율표)'!$D$53</f>
        <v>8588.3591760443378</v>
      </c>
      <c r="J24" s="86">
        <v>1202.4572388658744</v>
      </c>
      <c r="K24" s="82">
        <f t="shared" si="1"/>
        <v>162484.46949442959</v>
      </c>
      <c r="L24" s="38">
        <f t="shared" si="2"/>
        <v>22718.402025802472</v>
      </c>
      <c r="M24" s="34" t="s">
        <v>188</v>
      </c>
      <c r="N24" s="45">
        <f>N23-J24+H24</f>
        <v>0</v>
      </c>
    </row>
    <row r="25" spans="1:14" s="5" customFormat="1" ht="13.5" customHeight="1">
      <c r="A25" s="263">
        <v>44890</v>
      </c>
      <c r="B25" s="261" t="s">
        <v>434</v>
      </c>
      <c r="C25" s="160"/>
      <c r="D25" s="37">
        <v>2</v>
      </c>
      <c r="E25" s="33" t="s">
        <v>435</v>
      </c>
      <c r="F25" s="35"/>
      <c r="G25" s="103"/>
      <c r="H25" s="77"/>
      <c r="I25" s="177">
        <f>20000-I24</f>
        <v>11411.640823955662</v>
      </c>
      <c r="J25" s="258">
        <f>I25/'통장내역(환율표)'!$D$61</f>
        <v>1595.5604255202941</v>
      </c>
      <c r="K25" s="82">
        <f t="shared" si="1"/>
        <v>151072.82867047394</v>
      </c>
      <c r="L25" s="38">
        <f t="shared" si="2"/>
        <v>21122.84160028218</v>
      </c>
      <c r="M25" s="34" t="s">
        <v>188</v>
      </c>
      <c r="N25" s="45">
        <f>22718.4-J25</f>
        <v>21122.839574479709</v>
      </c>
    </row>
    <row r="26" spans="1:14" s="5" customFormat="1" ht="12.75" customHeight="1">
      <c r="A26" s="263">
        <v>44890</v>
      </c>
      <c r="B26" s="261" t="s">
        <v>130</v>
      </c>
      <c r="C26" s="160"/>
      <c r="D26" s="37">
        <v>2</v>
      </c>
      <c r="E26" s="33" t="s">
        <v>435</v>
      </c>
      <c r="F26" s="35"/>
      <c r="G26" s="103"/>
      <c r="H26" s="77"/>
      <c r="I26" s="177">
        <v>300</v>
      </c>
      <c r="J26" s="258">
        <f>I26/'통장내역(환율표)'!$D$61</f>
        <v>41.945600553011936</v>
      </c>
      <c r="K26" s="82">
        <f t="shared" si="1"/>
        <v>150772.82867047394</v>
      </c>
      <c r="L26" s="38">
        <f t="shared" si="2"/>
        <v>21080.895999729168</v>
      </c>
      <c r="M26" s="34" t="s">
        <v>211</v>
      </c>
      <c r="N26" s="45">
        <f t="shared" ref="N26:N64" si="3">N25-J26+H26</f>
        <v>21080.893973926697</v>
      </c>
    </row>
    <row r="27" spans="1:14" s="5" customFormat="1" ht="13.5" customHeight="1">
      <c r="A27" s="263">
        <v>44890</v>
      </c>
      <c r="B27" s="261" t="s">
        <v>131</v>
      </c>
      <c r="C27" s="160"/>
      <c r="D27" s="37">
        <v>2</v>
      </c>
      <c r="E27" s="33" t="s">
        <v>435</v>
      </c>
      <c r="F27" s="35"/>
      <c r="G27" s="103"/>
      <c r="H27" s="77"/>
      <c r="I27" s="177">
        <v>4224.43</v>
      </c>
      <c r="J27" s="258">
        <f>I27/'통장내역(환율표)'!$D$61</f>
        <v>590.65417781386736</v>
      </c>
      <c r="K27" s="82">
        <f t="shared" si="1"/>
        <v>146548.39867047395</v>
      </c>
      <c r="L27" s="38">
        <f t="shared" si="2"/>
        <v>20490.241821915301</v>
      </c>
      <c r="M27" s="34" t="s">
        <v>211</v>
      </c>
      <c r="N27" s="45">
        <f t="shared" si="3"/>
        <v>20490.23979611283</v>
      </c>
    </row>
    <row r="28" spans="1:14" s="5" customFormat="1" ht="13.5" customHeight="1">
      <c r="A28" s="263">
        <v>44890</v>
      </c>
      <c r="B28" s="261" t="s">
        <v>133</v>
      </c>
      <c r="C28" s="160"/>
      <c r="D28" s="37">
        <v>2</v>
      </c>
      <c r="E28" s="33" t="s">
        <v>435</v>
      </c>
      <c r="F28" s="35"/>
      <c r="G28" s="103"/>
      <c r="H28" s="77"/>
      <c r="I28" s="177">
        <v>2114.2899999999991</v>
      </c>
      <c r="J28" s="258">
        <f>I28/'통장내역(환율표)'!$D$61</f>
        <v>295.61721264409186</v>
      </c>
      <c r="K28" s="82">
        <f t="shared" si="1"/>
        <v>144434.10867047394</v>
      </c>
      <c r="L28" s="38">
        <f t="shared" si="2"/>
        <v>20194.62460927121</v>
      </c>
      <c r="M28" s="34" t="s">
        <v>211</v>
      </c>
      <c r="N28" s="45">
        <f t="shared" si="3"/>
        <v>20194.622583468739</v>
      </c>
    </row>
    <row r="29" spans="1:14" s="5" customFormat="1" ht="13.5" customHeight="1">
      <c r="A29" s="263">
        <v>44890</v>
      </c>
      <c r="B29" s="261" t="s">
        <v>345</v>
      </c>
      <c r="C29" s="160"/>
      <c r="D29" s="37">
        <v>2</v>
      </c>
      <c r="E29" s="33" t="s">
        <v>435</v>
      </c>
      <c r="F29" s="35"/>
      <c r="G29" s="103"/>
      <c r="H29" s="77"/>
      <c r="I29" s="177">
        <v>13500</v>
      </c>
      <c r="J29" s="258">
        <f>I29/'통장내역(환율표)'!$D$61</f>
        <v>1887.5520248855371</v>
      </c>
      <c r="K29" s="82">
        <f t="shared" si="1"/>
        <v>130934.10867047394</v>
      </c>
      <c r="L29" s="38">
        <f t="shared" si="2"/>
        <v>18307.072584385674</v>
      </c>
      <c r="M29" s="34" t="s">
        <v>211</v>
      </c>
      <c r="N29" s="45">
        <f t="shared" si="3"/>
        <v>18307.070558583204</v>
      </c>
    </row>
    <row r="30" spans="1:14" s="5" customFormat="1" ht="13.5" customHeight="1">
      <c r="A30" s="263">
        <v>44890</v>
      </c>
      <c r="B30" s="261" t="s">
        <v>134</v>
      </c>
      <c r="C30" s="160"/>
      <c r="D30" s="37">
        <v>2</v>
      </c>
      <c r="E30" s="33" t="s">
        <v>435</v>
      </c>
      <c r="F30" s="35"/>
      <c r="G30" s="103"/>
      <c r="H30" s="77"/>
      <c r="I30" s="177">
        <v>14000</v>
      </c>
      <c r="J30" s="258">
        <f>I30/'통장내역(환율표)'!$D$61</f>
        <v>1957.4613591405569</v>
      </c>
      <c r="K30" s="82">
        <f t="shared" si="1"/>
        <v>116934.10867047394</v>
      </c>
      <c r="L30" s="38">
        <f t="shared" si="2"/>
        <v>16349.611225245117</v>
      </c>
      <c r="M30" s="34" t="s">
        <v>211</v>
      </c>
      <c r="N30" s="45">
        <f t="shared" si="3"/>
        <v>16349.609199442646</v>
      </c>
    </row>
    <row r="31" spans="1:14" s="5" customFormat="1" ht="13.5" customHeight="1">
      <c r="A31" s="263">
        <v>44890</v>
      </c>
      <c r="B31" s="261" t="s">
        <v>130</v>
      </c>
      <c r="C31" s="160"/>
      <c r="D31" s="37">
        <v>2</v>
      </c>
      <c r="E31" s="33" t="s">
        <v>435</v>
      </c>
      <c r="F31" s="35"/>
      <c r="G31" s="103"/>
      <c r="H31" s="77"/>
      <c r="I31" s="177">
        <v>300</v>
      </c>
      <c r="J31" s="258">
        <f>I31/'통장내역(환율표)'!$D$61</f>
        <v>41.945600553011936</v>
      </c>
      <c r="K31" s="82">
        <f t="shared" si="1"/>
        <v>116634.10867047394</v>
      </c>
      <c r="L31" s="38">
        <f t="shared" si="2"/>
        <v>16307.665624692105</v>
      </c>
      <c r="M31" s="34" t="s">
        <v>287</v>
      </c>
      <c r="N31" s="45">
        <f t="shared" si="3"/>
        <v>16307.663598889634</v>
      </c>
    </row>
    <row r="32" spans="1:14" s="5" customFormat="1" ht="13.5" customHeight="1">
      <c r="A32" s="263">
        <v>44890</v>
      </c>
      <c r="B32" s="261" t="s">
        <v>131</v>
      </c>
      <c r="C32" s="160"/>
      <c r="D32" s="37">
        <v>2</v>
      </c>
      <c r="E32" s="33" t="s">
        <v>435</v>
      </c>
      <c r="F32" s="35"/>
      <c r="G32" s="103"/>
      <c r="H32" s="77"/>
      <c r="I32" s="177">
        <v>8308.0999999999985</v>
      </c>
      <c r="J32" s="258">
        <f>I32/'통장내역(환율표)'!$D$61</f>
        <v>1161.6274798482614</v>
      </c>
      <c r="K32" s="82">
        <f t="shared" si="1"/>
        <v>108326.00867047394</v>
      </c>
      <c r="L32" s="38">
        <f t="shared" si="2"/>
        <v>15146.038144843844</v>
      </c>
      <c r="M32" s="34" t="s">
        <v>287</v>
      </c>
      <c r="N32" s="45">
        <f t="shared" si="3"/>
        <v>15146.036119041373</v>
      </c>
    </row>
    <row r="33" spans="1:14" s="5" customFormat="1" ht="13.5" customHeight="1">
      <c r="A33" s="263">
        <v>44890</v>
      </c>
      <c r="B33" s="261" t="s">
        <v>133</v>
      </c>
      <c r="C33" s="160"/>
      <c r="D33" s="37">
        <v>2</v>
      </c>
      <c r="E33" s="33" t="s">
        <v>435</v>
      </c>
      <c r="F33" s="35"/>
      <c r="G33" s="103"/>
      <c r="H33" s="77"/>
      <c r="I33" s="177">
        <v>1832.2600000000002</v>
      </c>
      <c r="J33" s="258">
        <f>I33/'통장내역(환율표)'!$D$61</f>
        <v>256.18415356420553</v>
      </c>
      <c r="K33" s="82">
        <f t="shared" si="1"/>
        <v>106493.74867047394</v>
      </c>
      <c r="L33" s="38">
        <f t="shared" si="2"/>
        <v>14889.853991279639</v>
      </c>
      <c r="M33" s="34" t="s">
        <v>287</v>
      </c>
      <c r="N33" s="45">
        <f t="shared" si="3"/>
        <v>14889.851965477168</v>
      </c>
    </row>
    <row r="34" spans="1:14" s="5" customFormat="1" ht="13.5" customHeight="1">
      <c r="A34" s="263">
        <v>44890</v>
      </c>
      <c r="B34" s="261" t="s">
        <v>345</v>
      </c>
      <c r="C34" s="160"/>
      <c r="D34" s="37">
        <v>2</v>
      </c>
      <c r="E34" s="33" t="s">
        <v>435</v>
      </c>
      <c r="F34" s="35"/>
      <c r="G34" s="103"/>
      <c r="H34" s="77"/>
      <c r="I34" s="177">
        <v>21490.329999999994</v>
      </c>
      <c r="J34" s="258">
        <f>I34/'통장내역(환율표)'!$D$61</f>
        <v>3004.7493264413624</v>
      </c>
      <c r="K34" s="82">
        <f t="shared" si="1"/>
        <v>85003.41867047394</v>
      </c>
      <c r="L34" s="38">
        <f t="shared" si="2"/>
        <v>11885.104664838276</v>
      </c>
      <c r="M34" s="34" t="s">
        <v>287</v>
      </c>
      <c r="N34" s="45">
        <f t="shared" si="3"/>
        <v>11885.102639035806</v>
      </c>
    </row>
    <row r="35" spans="1:14" s="5" customFormat="1" ht="13.5" customHeight="1">
      <c r="A35" s="263">
        <v>44890</v>
      </c>
      <c r="B35" s="261" t="s">
        <v>250</v>
      </c>
      <c r="C35" s="160"/>
      <c r="D35" s="37">
        <v>2</v>
      </c>
      <c r="E35" s="33" t="s">
        <v>435</v>
      </c>
      <c r="F35" s="35"/>
      <c r="G35" s="103"/>
      <c r="H35" s="77"/>
      <c r="I35" s="177">
        <v>12</v>
      </c>
      <c r="J35" s="258">
        <f>I35/'통장내역(환율표)'!$D$61</f>
        <v>1.6778240221204774</v>
      </c>
      <c r="K35" s="82">
        <f t="shared" si="1"/>
        <v>84991.41867047394</v>
      </c>
      <c r="L35" s="38">
        <f t="shared" si="2"/>
        <v>11883.426840816155</v>
      </c>
      <c r="M35" s="34"/>
      <c r="N35" s="45">
        <f t="shared" si="3"/>
        <v>11883.424815013685</v>
      </c>
    </row>
    <row r="36" spans="1:14" s="5" customFormat="1" ht="13.5" customHeight="1">
      <c r="A36" s="263">
        <v>44890</v>
      </c>
      <c r="B36" s="261" t="s">
        <v>304</v>
      </c>
      <c r="C36" s="160"/>
      <c r="D36" s="37">
        <v>3</v>
      </c>
      <c r="E36" s="33" t="s">
        <v>436</v>
      </c>
      <c r="F36" s="35" t="s">
        <v>437</v>
      </c>
      <c r="G36" s="103"/>
      <c r="H36" s="77"/>
      <c r="I36" s="177">
        <v>19440</v>
      </c>
      <c r="J36" s="258">
        <f>I36/'통장내역(환율표)'!$D$61</f>
        <v>2718.0749158351732</v>
      </c>
      <c r="K36" s="82">
        <f t="shared" si="1"/>
        <v>65551.41867047394</v>
      </c>
      <c r="L36" s="38">
        <f t="shared" si="2"/>
        <v>9165.3519249809815</v>
      </c>
      <c r="M36" s="34"/>
      <c r="N36" s="45">
        <f t="shared" si="3"/>
        <v>9165.3498991785109</v>
      </c>
    </row>
    <row r="37" spans="1:14" s="5" customFormat="1" ht="13.5" customHeight="1">
      <c r="A37" s="263">
        <v>44890</v>
      </c>
      <c r="B37" s="261" t="s">
        <v>250</v>
      </c>
      <c r="C37" s="160"/>
      <c r="D37" s="37">
        <v>3</v>
      </c>
      <c r="E37" s="33" t="s">
        <v>435</v>
      </c>
      <c r="F37" s="35"/>
      <c r="G37" s="103"/>
      <c r="H37" s="77"/>
      <c r="I37" s="177">
        <v>7.2</v>
      </c>
      <c r="J37" s="258">
        <f>I37/'통장내역(환율표)'!$D$61</f>
        <v>1.0066944132722864</v>
      </c>
      <c r="K37" s="82">
        <f t="shared" si="1"/>
        <v>65544.218670473943</v>
      </c>
      <c r="L37" s="38">
        <f t="shared" si="2"/>
        <v>9164.3452305677092</v>
      </c>
      <c r="M37" s="34"/>
      <c r="N37" s="45">
        <f t="shared" si="3"/>
        <v>9164.3432047652386</v>
      </c>
    </row>
    <row r="38" spans="1:14" s="5" customFormat="1" ht="13.5" customHeight="1">
      <c r="A38" s="263">
        <v>44890</v>
      </c>
      <c r="B38" s="261" t="s">
        <v>306</v>
      </c>
      <c r="C38" s="160"/>
      <c r="D38" s="37">
        <v>4</v>
      </c>
      <c r="E38" s="33" t="s">
        <v>435</v>
      </c>
      <c r="F38" s="35"/>
      <c r="G38" s="103"/>
      <c r="H38" s="77"/>
      <c r="I38" s="177">
        <v>1000</v>
      </c>
      <c r="J38" s="258">
        <f>I38/'통장내역(환율표)'!$D$61</f>
        <v>139.81866851003977</v>
      </c>
      <c r="K38" s="82">
        <f t="shared" si="1"/>
        <v>64544.218670473943</v>
      </c>
      <c r="L38" s="38">
        <f t="shared" si="2"/>
        <v>9024.5265620576702</v>
      </c>
      <c r="M38" s="34" t="s">
        <v>306</v>
      </c>
      <c r="N38" s="45">
        <f t="shared" si="3"/>
        <v>9024.5245362551996</v>
      </c>
    </row>
    <row r="39" spans="1:14" s="5" customFormat="1" ht="13.5" customHeight="1">
      <c r="A39" s="263">
        <v>44890</v>
      </c>
      <c r="B39" s="261" t="s">
        <v>250</v>
      </c>
      <c r="C39" s="160"/>
      <c r="D39" s="37">
        <v>4</v>
      </c>
      <c r="E39" s="33" t="s">
        <v>435</v>
      </c>
      <c r="F39" s="35"/>
      <c r="G39" s="103"/>
      <c r="H39" s="77"/>
      <c r="I39" s="177">
        <v>3.6</v>
      </c>
      <c r="J39" s="258">
        <f>I39/'통장내역(환율표)'!$D$61</f>
        <v>0.50334720663614319</v>
      </c>
      <c r="K39" s="82">
        <f t="shared" si="1"/>
        <v>64540.618670473945</v>
      </c>
      <c r="L39" s="38">
        <f t="shared" si="2"/>
        <v>9024.0232148510331</v>
      </c>
      <c r="M39" s="34"/>
      <c r="N39" s="45">
        <f t="shared" si="3"/>
        <v>9024.0211890485625</v>
      </c>
    </row>
    <row r="40" spans="1:14" s="5" customFormat="1" ht="13.5" customHeight="1">
      <c r="A40" s="263">
        <v>44890</v>
      </c>
      <c r="B40" s="261" t="s">
        <v>423</v>
      </c>
      <c r="C40" s="160"/>
      <c r="D40" s="37">
        <v>5</v>
      </c>
      <c r="E40" s="33" t="s">
        <v>435</v>
      </c>
      <c r="F40" s="35"/>
      <c r="G40" s="103"/>
      <c r="H40" s="77"/>
      <c r="I40" s="177">
        <v>1262.51</v>
      </c>
      <c r="J40" s="258">
        <f>I40/'통장내역(환율표)'!$D$61</f>
        <v>176.52246718061033</v>
      </c>
      <c r="K40" s="82">
        <f t="shared" si="1"/>
        <v>63278.108670473943</v>
      </c>
      <c r="L40" s="38">
        <f t="shared" si="2"/>
        <v>8847.5007476704232</v>
      </c>
      <c r="M40" s="34" t="s">
        <v>438</v>
      </c>
      <c r="N40" s="45">
        <f t="shared" si="3"/>
        <v>8847.4987218679526</v>
      </c>
    </row>
    <row r="41" spans="1:14" s="5" customFormat="1" ht="13.5" customHeight="1">
      <c r="A41" s="263">
        <v>44890</v>
      </c>
      <c r="B41" s="261" t="s">
        <v>250</v>
      </c>
      <c r="C41" s="160"/>
      <c r="D41" s="37">
        <v>5</v>
      </c>
      <c r="E41" s="33" t="s">
        <v>435</v>
      </c>
      <c r="F41" s="35"/>
      <c r="G41" s="103"/>
      <c r="H41" s="77"/>
      <c r="I41" s="177">
        <v>3.6</v>
      </c>
      <c r="J41" s="258">
        <f>I41/'통장내역(환율표)'!$D$61</f>
        <v>0.50334720663614319</v>
      </c>
      <c r="K41" s="82">
        <f t="shared" si="1"/>
        <v>63274.508670473944</v>
      </c>
      <c r="L41" s="38">
        <f t="shared" si="2"/>
        <v>8846.9974004637861</v>
      </c>
      <c r="M41" s="34"/>
      <c r="N41" s="45">
        <f t="shared" si="3"/>
        <v>8846.9953746613155</v>
      </c>
    </row>
    <row r="42" spans="1:14" s="5" customFormat="1" ht="13.5" customHeight="1">
      <c r="A42" s="263">
        <v>44890</v>
      </c>
      <c r="B42" s="261" t="s">
        <v>346</v>
      </c>
      <c r="C42" s="160"/>
      <c r="D42" s="37">
        <v>6</v>
      </c>
      <c r="E42" s="33" t="s">
        <v>75</v>
      </c>
      <c r="F42" s="35" t="s">
        <v>227</v>
      </c>
      <c r="G42" s="103"/>
      <c r="H42" s="77"/>
      <c r="I42" s="177">
        <v>10500</v>
      </c>
      <c r="J42" s="258">
        <f>I42/'통장내역(환율표)'!$D$61</f>
        <v>1468.0960193554176</v>
      </c>
      <c r="K42" s="82">
        <f t="shared" si="1"/>
        <v>52774.508670473944</v>
      </c>
      <c r="L42" s="38">
        <f t="shared" si="2"/>
        <v>7378.9013811083687</v>
      </c>
      <c r="M42" s="34"/>
      <c r="N42" s="45">
        <f t="shared" si="3"/>
        <v>7378.8993553058981</v>
      </c>
    </row>
    <row r="43" spans="1:14" s="5" customFormat="1" ht="13.5" customHeight="1">
      <c r="A43" s="263">
        <v>44890</v>
      </c>
      <c r="B43" s="261" t="s">
        <v>347</v>
      </c>
      <c r="C43" s="160"/>
      <c r="D43" s="37">
        <v>6</v>
      </c>
      <c r="E43" s="33" t="s">
        <v>435</v>
      </c>
      <c r="F43" s="35"/>
      <c r="G43" s="103"/>
      <c r="H43" s="77"/>
      <c r="I43" s="177">
        <v>6000</v>
      </c>
      <c r="J43" s="258">
        <f>I43/'통장내역(환율표)'!$D$61</f>
        <v>838.91201106023868</v>
      </c>
      <c r="K43" s="82">
        <f t="shared" si="1"/>
        <v>46774.508670473944</v>
      </c>
      <c r="L43" s="38">
        <f t="shared" si="2"/>
        <v>6539.9893700481298</v>
      </c>
      <c r="M43" s="34"/>
      <c r="N43" s="45">
        <f t="shared" si="3"/>
        <v>6539.9873442456592</v>
      </c>
    </row>
    <row r="44" spans="1:14" s="5" customFormat="1" ht="13.5" customHeight="1">
      <c r="A44" s="263">
        <v>44890</v>
      </c>
      <c r="B44" s="261" t="s">
        <v>351</v>
      </c>
      <c r="C44" s="160"/>
      <c r="D44" s="37">
        <v>6</v>
      </c>
      <c r="E44" s="33" t="s">
        <v>435</v>
      </c>
      <c r="F44" s="35"/>
      <c r="G44" s="103"/>
      <c r="H44" s="77"/>
      <c r="I44" s="177">
        <v>270</v>
      </c>
      <c r="J44" s="258">
        <f>I44/'통장내역(환율표)'!$D$61</f>
        <v>37.75104049771074</v>
      </c>
      <c r="K44" s="82">
        <f t="shared" si="1"/>
        <v>46504.508670473944</v>
      </c>
      <c r="L44" s="38">
        <f t="shared" si="2"/>
        <v>6502.2383295504187</v>
      </c>
      <c r="M44" s="34"/>
      <c r="N44" s="45">
        <f t="shared" si="3"/>
        <v>6502.2363037479481</v>
      </c>
    </row>
    <row r="45" spans="1:14" s="5" customFormat="1" ht="13.5" customHeight="1">
      <c r="A45" s="263">
        <v>44890</v>
      </c>
      <c r="B45" s="261" t="s">
        <v>250</v>
      </c>
      <c r="C45" s="160"/>
      <c r="D45" s="37">
        <v>6</v>
      </c>
      <c r="E45" s="33" t="s">
        <v>435</v>
      </c>
      <c r="F45" s="35"/>
      <c r="G45" s="103"/>
      <c r="H45" s="77"/>
      <c r="I45" s="177">
        <v>7.2</v>
      </c>
      <c r="J45" s="258">
        <f>I45/'통장내역(환율표)'!$D$61</f>
        <v>1.0066944132722864</v>
      </c>
      <c r="K45" s="82">
        <f t="shared" si="1"/>
        <v>46497.308670473947</v>
      </c>
      <c r="L45" s="38">
        <f t="shared" si="2"/>
        <v>6501.2316351371464</v>
      </c>
      <c r="M45" s="34"/>
      <c r="N45" s="45">
        <f t="shared" si="3"/>
        <v>6501.2296093346758</v>
      </c>
    </row>
    <row r="46" spans="1:14" s="5" customFormat="1" ht="13.5" customHeight="1">
      <c r="A46" s="263">
        <v>44890</v>
      </c>
      <c r="B46" s="261" t="s">
        <v>424</v>
      </c>
      <c r="C46" s="160"/>
      <c r="D46" s="37">
        <v>7</v>
      </c>
      <c r="E46" s="33" t="s">
        <v>439</v>
      </c>
      <c r="F46" s="35" t="s">
        <v>440</v>
      </c>
      <c r="G46" s="103"/>
      <c r="H46" s="77"/>
      <c r="I46" s="177">
        <v>1712</v>
      </c>
      <c r="J46" s="258">
        <f>I46/'통장내역(환율표)'!$D$61</f>
        <v>239.3695604891881</v>
      </c>
      <c r="K46" s="82">
        <f t="shared" si="1"/>
        <v>44785.308670473947</v>
      </c>
      <c r="L46" s="38">
        <f t="shared" si="2"/>
        <v>6261.8620746479583</v>
      </c>
      <c r="M46" s="34"/>
      <c r="N46" s="45">
        <f t="shared" si="3"/>
        <v>6261.8600488454877</v>
      </c>
    </row>
    <row r="47" spans="1:14" s="5" customFormat="1" ht="13.5" customHeight="1">
      <c r="A47" s="263">
        <v>44890</v>
      </c>
      <c r="B47" s="261" t="s">
        <v>425</v>
      </c>
      <c r="C47" s="160"/>
      <c r="D47" s="37">
        <v>7</v>
      </c>
      <c r="E47" s="33" t="s">
        <v>439</v>
      </c>
      <c r="F47" s="35" t="s">
        <v>440</v>
      </c>
      <c r="G47" s="103"/>
      <c r="H47" s="77"/>
      <c r="I47" s="177">
        <v>920</v>
      </c>
      <c r="J47" s="258">
        <f>I47/'통장내역(환율표)'!$D$61</f>
        <v>128.63317502923661</v>
      </c>
      <c r="K47" s="82">
        <f t="shared" si="1"/>
        <v>43865.308670473947</v>
      </c>
      <c r="L47" s="38">
        <f t="shared" si="2"/>
        <v>6133.2288996187217</v>
      </c>
      <c r="M47" s="34"/>
      <c r="N47" s="45">
        <f t="shared" si="3"/>
        <v>6133.2268738162511</v>
      </c>
    </row>
    <row r="48" spans="1:14" s="5" customFormat="1" ht="13.5" customHeight="1">
      <c r="A48" s="263">
        <v>44890</v>
      </c>
      <c r="B48" s="261" t="s">
        <v>426</v>
      </c>
      <c r="C48" s="160"/>
      <c r="D48" s="37">
        <v>7</v>
      </c>
      <c r="E48" s="33" t="s">
        <v>439</v>
      </c>
      <c r="F48" s="35" t="s">
        <v>440</v>
      </c>
      <c r="G48" s="103"/>
      <c r="H48" s="77"/>
      <c r="I48" s="177">
        <v>56</v>
      </c>
      <c r="J48" s="258">
        <f>I48/'통장내역(환율표)'!$D$61</f>
        <v>7.8298454365622279</v>
      </c>
      <c r="K48" s="82">
        <f t="shared" si="1"/>
        <v>43809.308670473947</v>
      </c>
      <c r="L48" s="38">
        <f t="shared" si="2"/>
        <v>6125.3990541821595</v>
      </c>
      <c r="M48" s="34"/>
      <c r="N48" s="45">
        <f t="shared" si="3"/>
        <v>6125.3970283796889</v>
      </c>
    </row>
    <row r="49" spans="1:14" s="5" customFormat="1" ht="13.5" customHeight="1">
      <c r="A49" s="263">
        <v>44890</v>
      </c>
      <c r="B49" s="261" t="s">
        <v>250</v>
      </c>
      <c r="C49" s="160"/>
      <c r="D49" s="37">
        <v>7</v>
      </c>
      <c r="E49" s="33" t="s">
        <v>435</v>
      </c>
      <c r="F49" s="35"/>
      <c r="G49" s="103"/>
      <c r="H49" s="77"/>
      <c r="I49" s="177">
        <v>3.6</v>
      </c>
      <c r="J49" s="258">
        <f>I49/'통장내역(환율표)'!$D$61</f>
        <v>0.50334720663614319</v>
      </c>
      <c r="K49" s="82">
        <f t="shared" si="1"/>
        <v>43805.708670473949</v>
      </c>
      <c r="L49" s="38">
        <f t="shared" si="2"/>
        <v>6124.8957069755234</v>
      </c>
      <c r="M49" s="34"/>
      <c r="N49" s="45">
        <f t="shared" si="3"/>
        <v>6124.8936811730528</v>
      </c>
    </row>
    <row r="50" spans="1:14" s="5" customFormat="1" ht="13.5" customHeight="1">
      <c r="A50" s="263">
        <v>44890</v>
      </c>
      <c r="B50" s="261" t="s">
        <v>400</v>
      </c>
      <c r="C50" s="160"/>
      <c r="D50" s="37">
        <v>8</v>
      </c>
      <c r="E50" s="33" t="s">
        <v>441</v>
      </c>
      <c r="F50" s="35" t="s">
        <v>444</v>
      </c>
      <c r="G50" s="103"/>
      <c r="H50" s="77"/>
      <c r="I50" s="177">
        <v>200</v>
      </c>
      <c r="J50" s="258">
        <v>27.96</v>
      </c>
      <c r="K50" s="82">
        <f t="shared" si="1"/>
        <v>43605.708670473949</v>
      </c>
      <c r="L50" s="38">
        <f t="shared" si="2"/>
        <v>6096.9357069755233</v>
      </c>
      <c r="M50" s="34"/>
      <c r="N50" s="45">
        <f t="shared" si="3"/>
        <v>6096.9336811730527</v>
      </c>
    </row>
    <row r="51" spans="1:14" s="5" customFormat="1" ht="13.5" customHeight="1">
      <c r="A51" s="263">
        <v>44890</v>
      </c>
      <c r="B51" s="261" t="s">
        <v>427</v>
      </c>
      <c r="C51" s="160"/>
      <c r="D51" s="37">
        <v>8</v>
      </c>
      <c r="E51" s="33" t="s">
        <v>442</v>
      </c>
      <c r="F51" s="35"/>
      <c r="G51" s="103"/>
      <c r="H51" s="77"/>
      <c r="I51" s="177">
        <v>4902</v>
      </c>
      <c r="J51" s="258">
        <f>I51/'통장내역(환율표)'!$D$61</f>
        <v>685.39111303621496</v>
      </c>
      <c r="K51" s="82">
        <f t="shared" si="1"/>
        <v>38703.708670473949</v>
      </c>
      <c r="L51" s="38">
        <f t="shared" si="2"/>
        <v>5411.5445939393085</v>
      </c>
      <c r="M51" s="34"/>
      <c r="N51" s="45">
        <f t="shared" si="3"/>
        <v>5411.5425681368379</v>
      </c>
    </row>
    <row r="52" spans="1:14" s="5" customFormat="1" ht="13.5" customHeight="1">
      <c r="A52" s="263">
        <v>44890</v>
      </c>
      <c r="B52" s="261" t="s">
        <v>250</v>
      </c>
      <c r="C52" s="160"/>
      <c r="D52" s="37">
        <v>8</v>
      </c>
      <c r="E52" s="33" t="s">
        <v>435</v>
      </c>
      <c r="F52" s="35"/>
      <c r="G52" s="103"/>
      <c r="H52" s="77"/>
      <c r="I52" s="177">
        <v>3.6</v>
      </c>
      <c r="J52" s="258">
        <f>I52/'통장내역(환율표)'!$D$61</f>
        <v>0.50334720663614319</v>
      </c>
      <c r="K52" s="82">
        <f t="shared" si="1"/>
        <v>38700.10867047395</v>
      </c>
      <c r="L52" s="38">
        <f t="shared" si="2"/>
        <v>5411.0412467326723</v>
      </c>
      <c r="M52" s="34"/>
      <c r="N52" s="45">
        <f t="shared" si="3"/>
        <v>5411.0392209302017</v>
      </c>
    </row>
    <row r="53" spans="1:14" s="5" customFormat="1" ht="13.5" customHeight="1">
      <c r="A53" s="263">
        <v>44890</v>
      </c>
      <c r="B53" s="261" t="s">
        <v>428</v>
      </c>
      <c r="C53" s="160"/>
      <c r="D53" s="37">
        <v>9</v>
      </c>
      <c r="E53" s="33" t="s">
        <v>441</v>
      </c>
      <c r="F53" s="35" t="s">
        <v>444</v>
      </c>
      <c r="G53" s="103"/>
      <c r="H53" s="77"/>
      <c r="I53" s="177">
        <v>98.5</v>
      </c>
      <c r="J53" s="258">
        <v>13.77</v>
      </c>
      <c r="K53" s="82">
        <f t="shared" si="1"/>
        <v>38601.60867047395</v>
      </c>
      <c r="L53" s="38">
        <f t="shared" si="2"/>
        <v>5397.2712467326719</v>
      </c>
      <c r="M53" s="34"/>
      <c r="N53" s="45">
        <f t="shared" si="3"/>
        <v>5397.2692209302013</v>
      </c>
    </row>
    <row r="54" spans="1:14" s="5" customFormat="1" ht="13.5" customHeight="1">
      <c r="A54" s="263">
        <v>44890</v>
      </c>
      <c r="B54" s="261" t="s">
        <v>429</v>
      </c>
      <c r="C54" s="160"/>
      <c r="D54" s="37">
        <v>9</v>
      </c>
      <c r="E54" s="33" t="s">
        <v>439</v>
      </c>
      <c r="F54" s="35" t="s">
        <v>440</v>
      </c>
      <c r="G54" s="103"/>
      <c r="H54" s="77"/>
      <c r="I54" s="177">
        <v>583.04</v>
      </c>
      <c r="J54" s="258">
        <f>I54/'통장내역(환율표)'!$D$61</f>
        <v>81.519876488093587</v>
      </c>
      <c r="K54" s="82">
        <f t="shared" si="1"/>
        <v>38018.568670473949</v>
      </c>
      <c r="L54" s="38">
        <f t="shared" si="2"/>
        <v>5315.7513702445785</v>
      </c>
      <c r="M54" s="34"/>
      <c r="N54" s="45">
        <f t="shared" si="3"/>
        <v>5315.7493444421079</v>
      </c>
    </row>
    <row r="55" spans="1:14" s="5" customFormat="1" ht="13.5" customHeight="1">
      <c r="A55" s="263">
        <v>44890</v>
      </c>
      <c r="B55" s="261" t="s">
        <v>430</v>
      </c>
      <c r="C55" s="160"/>
      <c r="D55" s="37">
        <v>9</v>
      </c>
      <c r="E55" s="33" t="s">
        <v>435</v>
      </c>
      <c r="F55" s="35"/>
      <c r="G55" s="103"/>
      <c r="H55" s="77"/>
      <c r="I55" s="177">
        <v>172.21</v>
      </c>
      <c r="J55" s="258">
        <f>I55/'통장내역(환율표)'!$D$61</f>
        <v>24.078172904113952</v>
      </c>
      <c r="K55" s="82">
        <f t="shared" si="1"/>
        <v>37846.35867047395</v>
      </c>
      <c r="L55" s="38">
        <f t="shared" si="2"/>
        <v>5291.6731973404649</v>
      </c>
      <c r="M55" s="34"/>
      <c r="N55" s="45">
        <f t="shared" si="3"/>
        <v>5291.6711715379943</v>
      </c>
    </row>
    <row r="56" spans="1:14" s="5" customFormat="1" ht="13.5" customHeight="1">
      <c r="A56" s="263">
        <v>44890</v>
      </c>
      <c r="B56" s="261" t="s">
        <v>431</v>
      </c>
      <c r="C56" s="160"/>
      <c r="D56" s="37">
        <v>9</v>
      </c>
      <c r="E56" s="33" t="s">
        <v>435</v>
      </c>
      <c r="F56" s="35"/>
      <c r="G56" s="103"/>
      <c r="H56" s="77"/>
      <c r="I56" s="177">
        <f>19.7+1003</f>
        <v>1022.7</v>
      </c>
      <c r="J56" s="258">
        <f>I56/'통장내역(환율표)'!$D$61</f>
        <v>142.9925522852177</v>
      </c>
      <c r="K56" s="82">
        <f t="shared" si="1"/>
        <v>36823.658670473953</v>
      </c>
      <c r="L56" s="38">
        <f t="shared" si="2"/>
        <v>5148.6806450552467</v>
      </c>
      <c r="M56" s="34"/>
      <c r="N56" s="45">
        <f t="shared" si="3"/>
        <v>5148.6786192527761</v>
      </c>
    </row>
    <row r="57" spans="1:14" s="5" customFormat="1" ht="13.5" customHeight="1">
      <c r="A57" s="263">
        <v>44890</v>
      </c>
      <c r="B57" s="261" t="s">
        <v>250</v>
      </c>
      <c r="C57" s="160"/>
      <c r="D57" s="37">
        <v>9</v>
      </c>
      <c r="E57" s="33" t="s">
        <v>435</v>
      </c>
      <c r="F57" s="35"/>
      <c r="G57" s="103"/>
      <c r="H57" s="77"/>
      <c r="I57" s="177">
        <v>3.6</v>
      </c>
      <c r="J57" s="258">
        <f>I57/'통장내역(환율표)'!$D$61</f>
        <v>0.50334720663614319</v>
      </c>
      <c r="K57" s="82">
        <f t="shared" si="1"/>
        <v>36820.058670473954</v>
      </c>
      <c r="L57" s="38">
        <f t="shared" si="2"/>
        <v>5148.1772978486106</v>
      </c>
      <c r="M57" s="34"/>
      <c r="N57" s="45">
        <f t="shared" si="3"/>
        <v>5148.17527204614</v>
      </c>
    </row>
    <row r="58" spans="1:14" s="5" customFormat="1" ht="13.5" customHeight="1">
      <c r="A58" s="263">
        <v>44890</v>
      </c>
      <c r="B58" s="261" t="s">
        <v>432</v>
      </c>
      <c r="C58" s="160"/>
      <c r="D58" s="37">
        <v>10</v>
      </c>
      <c r="E58" s="33" t="s">
        <v>435</v>
      </c>
      <c r="F58" s="35"/>
      <c r="G58" s="103"/>
      <c r="H58" s="77"/>
      <c r="I58" s="177">
        <v>300</v>
      </c>
      <c r="J58" s="258">
        <f>I58/'통장내역(환율표)'!$D$61</f>
        <v>41.945600553011936</v>
      </c>
      <c r="K58" s="82">
        <f t="shared" si="1"/>
        <v>36520.058670473954</v>
      </c>
      <c r="L58" s="38">
        <f t="shared" si="2"/>
        <v>5106.2316972955987</v>
      </c>
      <c r="M58" s="34"/>
      <c r="N58" s="45">
        <f t="shared" si="3"/>
        <v>5106.2296714931281</v>
      </c>
    </row>
    <row r="59" spans="1:14" s="5" customFormat="1" ht="13.5" customHeight="1">
      <c r="A59" s="263">
        <v>44890</v>
      </c>
      <c r="B59" s="261" t="s">
        <v>447</v>
      </c>
      <c r="C59" s="160"/>
      <c r="D59" s="37">
        <v>10</v>
      </c>
      <c r="E59" s="33" t="s">
        <v>435</v>
      </c>
      <c r="F59" s="35"/>
      <c r="G59" s="103"/>
      <c r="H59" s="77"/>
      <c r="I59" s="177">
        <f>227.46-34.98</f>
        <v>192.48000000000002</v>
      </c>
      <c r="J59" s="258">
        <f>I59/'통장내역(환율표)'!$D$61</f>
        <v>26.912297314812459</v>
      </c>
      <c r="K59" s="82">
        <f t="shared" si="1"/>
        <v>36327.578670473951</v>
      </c>
      <c r="L59" s="38">
        <f t="shared" si="2"/>
        <v>5079.3193999807863</v>
      </c>
      <c r="M59" s="34"/>
      <c r="N59" s="45">
        <f t="shared" si="3"/>
        <v>5079.3173741783157</v>
      </c>
    </row>
    <row r="60" spans="1:14" s="5" customFormat="1" ht="13.5" customHeight="1">
      <c r="A60" s="263">
        <v>44890</v>
      </c>
      <c r="B60" s="261" t="s">
        <v>250</v>
      </c>
      <c r="C60" s="160"/>
      <c r="D60" s="37">
        <v>10</v>
      </c>
      <c r="E60" s="33" t="s">
        <v>435</v>
      </c>
      <c r="F60" s="35"/>
      <c r="G60" s="103"/>
      <c r="H60" s="77"/>
      <c r="I60" s="177">
        <v>3.6</v>
      </c>
      <c r="J60" s="258">
        <f>I60/'통장내역(환율표)'!$D$61</f>
        <v>0.50334720663614319</v>
      </c>
      <c r="K60" s="82">
        <f t="shared" si="1"/>
        <v>36323.978670473953</v>
      </c>
      <c r="L60" s="38">
        <f t="shared" si="2"/>
        <v>5078.8160527741502</v>
      </c>
      <c r="M60" s="34"/>
      <c r="N60" s="45">
        <f t="shared" si="3"/>
        <v>5078.8140269716796</v>
      </c>
    </row>
    <row r="61" spans="1:14" s="5" customFormat="1" ht="13.5" customHeight="1">
      <c r="A61" s="263">
        <v>44890</v>
      </c>
      <c r="B61" s="261" t="s">
        <v>422</v>
      </c>
      <c r="C61" s="160"/>
      <c r="D61" s="37">
        <v>11</v>
      </c>
      <c r="E61" s="33" t="s">
        <v>435</v>
      </c>
      <c r="F61" s="35"/>
      <c r="G61" s="103"/>
      <c r="H61" s="77"/>
      <c r="I61" s="177">
        <v>206</v>
      </c>
      <c r="J61" s="258">
        <f>I61/'통장내역(환율표)'!$D$61</f>
        <v>28.802645713068195</v>
      </c>
      <c r="K61" s="82">
        <f t="shared" si="1"/>
        <v>36117.978670473953</v>
      </c>
      <c r="L61" s="38">
        <f t="shared" si="2"/>
        <v>5050.013407061082</v>
      </c>
      <c r="M61" s="34"/>
      <c r="N61" s="45">
        <f t="shared" si="3"/>
        <v>5050.0113812586114</v>
      </c>
    </row>
    <row r="62" spans="1:14" s="5" customFormat="1" ht="13.5" customHeight="1">
      <c r="A62" s="263">
        <v>44890</v>
      </c>
      <c r="B62" s="261" t="s">
        <v>250</v>
      </c>
      <c r="C62" s="160"/>
      <c r="D62" s="37">
        <v>11</v>
      </c>
      <c r="E62" s="33" t="s">
        <v>435</v>
      </c>
      <c r="F62" s="35"/>
      <c r="G62" s="103"/>
      <c r="H62" s="77"/>
      <c r="I62" s="177">
        <v>3.6</v>
      </c>
      <c r="J62" s="258">
        <f>I62/'통장내역(환율표)'!$D$61</f>
        <v>0.50334720663614319</v>
      </c>
      <c r="K62" s="82">
        <f t="shared" si="1"/>
        <v>36114.378670473954</v>
      </c>
      <c r="L62" s="38">
        <f t="shared" si="2"/>
        <v>5049.5100598544459</v>
      </c>
      <c r="M62" s="34"/>
      <c r="N62" s="45">
        <f t="shared" si="3"/>
        <v>5049.5080340519753</v>
      </c>
    </row>
    <row r="63" spans="1:14" s="5" customFormat="1" ht="13.5" customHeight="1">
      <c r="A63" s="263">
        <v>44890</v>
      </c>
      <c r="B63" s="261" t="s">
        <v>443</v>
      </c>
      <c r="C63" s="160"/>
      <c r="D63" s="37">
        <v>12</v>
      </c>
      <c r="E63" s="33" t="s">
        <v>441</v>
      </c>
      <c r="F63" s="35" t="s">
        <v>444</v>
      </c>
      <c r="G63" s="103"/>
      <c r="H63" s="77"/>
      <c r="I63" s="177">
        <v>396.5</v>
      </c>
      <c r="J63" s="258">
        <f>I63/'통장내역(환율표)'!$D$61</f>
        <v>55.438102064230776</v>
      </c>
      <c r="K63" s="82">
        <f t="shared" si="1"/>
        <v>35717.878670473954</v>
      </c>
      <c r="L63" s="38">
        <f t="shared" si="2"/>
        <v>4994.0719577902155</v>
      </c>
      <c r="M63" s="34"/>
      <c r="N63" s="45">
        <f t="shared" si="3"/>
        <v>4994.0699319877449</v>
      </c>
    </row>
    <row r="64" spans="1:14" s="5" customFormat="1" ht="13.5" customHeight="1">
      <c r="A64" s="263">
        <v>44890</v>
      </c>
      <c r="B64" s="261" t="s">
        <v>250</v>
      </c>
      <c r="C64" s="160"/>
      <c r="D64" s="37">
        <v>12</v>
      </c>
      <c r="E64" s="33" t="s">
        <v>435</v>
      </c>
      <c r="F64" s="35"/>
      <c r="G64" s="103"/>
      <c r="H64" s="77"/>
      <c r="I64" s="177">
        <v>3.6</v>
      </c>
      <c r="J64" s="258">
        <f>I64/'통장내역(환율표)'!$D$61</f>
        <v>0.50334720663614319</v>
      </c>
      <c r="K64" s="82">
        <f t="shared" si="1"/>
        <v>35714.278670473956</v>
      </c>
      <c r="L64" s="38">
        <f t="shared" si="2"/>
        <v>4993.5686105835794</v>
      </c>
      <c r="M64" s="34"/>
      <c r="N64" s="45">
        <f t="shared" si="3"/>
        <v>4993.5665847811088</v>
      </c>
    </row>
    <row r="65" spans="9:9">
      <c r="I65" s="259"/>
    </row>
  </sheetData>
  <autoFilter ref="A16:N68" xr:uid="{00000000-0009-0000-0000-00000A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70"/>
  <sheetViews>
    <sheetView showGridLines="0" zoomScale="85" zoomScaleNormal="85" workbookViewId="0">
      <selection activeCell="D51" sqref="D51"/>
    </sheetView>
  </sheetViews>
  <sheetFormatPr defaultRowHeight="16.5"/>
  <cols>
    <col min="1" max="1" width="10.25" bestFit="1" customWidth="1"/>
    <col min="2" max="2" width="30.75" customWidth="1"/>
    <col min="3" max="3" width="11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9.625" bestFit="1" customWidth="1"/>
  </cols>
  <sheetData>
    <row r="1" spans="1:14" ht="24">
      <c r="A1" s="1" t="s">
        <v>449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25">
      <c r="A2" s="5" t="s">
        <v>491</v>
      </c>
      <c r="B2" s="2"/>
      <c r="C2" s="2"/>
      <c r="E2" s="4">
        <v>100077177</v>
      </c>
      <c r="F2" s="7"/>
      <c r="G2" s="5" t="s">
        <v>492</v>
      </c>
      <c r="H2" s="2"/>
      <c r="I2" s="2"/>
      <c r="K2" s="4">
        <v>100077182</v>
      </c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.5">
      <c r="A4" s="114" t="s">
        <v>292</v>
      </c>
      <c r="B4" s="115"/>
      <c r="C4" s="116"/>
      <c r="D4" s="116"/>
      <c r="E4" s="117"/>
      <c r="F4" s="180"/>
      <c r="G4" s="114" t="s">
        <v>292</v>
      </c>
      <c r="H4" s="115"/>
      <c r="I4" s="116"/>
      <c r="J4" s="116"/>
      <c r="K4" s="117"/>
      <c r="L4" s="119"/>
    </row>
    <row r="5" spans="1:14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1552</v>
      </c>
      <c r="J5" s="116">
        <v>223.14857594584163</v>
      </c>
      <c r="K5" s="117">
        <v>291568</v>
      </c>
      <c r="L5" s="248">
        <f t="shared" ref="L5:L10" si="0">K5+E5</f>
        <v>291568</v>
      </c>
    </row>
    <row r="6" spans="1:14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9203.1239999999998</v>
      </c>
      <c r="J6" s="116">
        <v>1323.2371229722924</v>
      </c>
      <c r="K6" s="117">
        <v>1728945</v>
      </c>
      <c r="L6" s="248">
        <f t="shared" si="0"/>
        <v>1728945</v>
      </c>
    </row>
    <row r="7" spans="1:14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2795.1084512803873</v>
      </c>
      <c r="K7" s="117">
        <v>3652091</v>
      </c>
      <c r="L7" s="248">
        <f t="shared" si="0"/>
        <v>3652091</v>
      </c>
    </row>
    <row r="8" spans="1:14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1509.7036388088511</v>
      </c>
      <c r="K8" s="117">
        <v>1972574</v>
      </c>
      <c r="L8" s="248">
        <f t="shared" si="0"/>
        <v>1972574</v>
      </c>
    </row>
    <row r="9" spans="1:14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896.5</v>
      </c>
      <c r="J9" s="116">
        <v>128.89993449448906</v>
      </c>
      <c r="K9" s="117">
        <v>168421</v>
      </c>
      <c r="L9" s="248">
        <f t="shared" si="0"/>
        <v>168421</v>
      </c>
    </row>
    <row r="10" spans="1:14" s="5" customFormat="1" ht="13.5">
      <c r="A10" s="114" t="s">
        <v>62</v>
      </c>
      <c r="B10" s="115"/>
      <c r="C10" s="116">
        <v>35809.301177232832</v>
      </c>
      <c r="D10" s="116">
        <v>5006.8088108756947</v>
      </c>
      <c r="E10" s="117">
        <v>6850818</v>
      </c>
      <c r="F10" s="121">
        <v>51321010</v>
      </c>
      <c r="G10" s="114" t="s">
        <v>62</v>
      </c>
      <c r="H10" s="115"/>
      <c r="I10" s="116">
        <v>84589.078822767246</v>
      </c>
      <c r="J10" s="116">
        <v>12188.327628782899</v>
      </c>
      <c r="K10" s="117">
        <v>15925272</v>
      </c>
      <c r="L10" s="248">
        <f t="shared" si="0"/>
        <v>22776090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.5">
      <c r="A12" s="1493" t="s">
        <v>299</v>
      </c>
      <c r="B12" s="1494"/>
      <c r="C12" s="124">
        <f>SUM(C4:C11)</f>
        <v>35809.301177232832</v>
      </c>
      <c r="D12" s="124">
        <f>SUM(D4:D11)</f>
        <v>5006.8088108756947</v>
      </c>
      <c r="E12" s="125">
        <f>SUM(E4:E11)</f>
        <v>6850818</v>
      </c>
      <c r="F12" s="121">
        <v>52981010</v>
      </c>
      <c r="G12" s="1493" t="s">
        <v>299</v>
      </c>
      <c r="H12" s="1494"/>
      <c r="I12" s="124">
        <f>SUM(I4:I11)</f>
        <v>126180.70282276724</v>
      </c>
      <c r="J12" s="124">
        <f>SUM(J4:J11)</f>
        <v>18168.425352284761</v>
      </c>
      <c r="K12" s="125">
        <f>SUM(K4:K10)</f>
        <v>23738871</v>
      </c>
      <c r="L12" s="119"/>
    </row>
    <row r="13" spans="1:14" s="5" customFormat="1" ht="13.5">
      <c r="A13" s="126"/>
      <c r="B13" s="127"/>
      <c r="C13" s="128">
        <f>C12+I12</f>
        <v>161990.00400000007</v>
      </c>
      <c r="D13" s="128">
        <f>D12+J12</f>
        <v>23175.234163160458</v>
      </c>
      <c r="E13" s="250">
        <f>E12+K12</f>
        <v>30589689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  <c r="N13" s="45"/>
    </row>
    <row r="14" spans="1:14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24238.562226094586</v>
      </c>
      <c r="I14" s="137">
        <f>SUBTOTAL(9,I17:I84)</f>
        <v>161990.00000000009</v>
      </c>
      <c r="J14" s="137">
        <f>SUBTOTAL(9,J17:J82)</f>
        <v>23175.236882195986</v>
      </c>
      <c r="K14" s="139"/>
      <c r="L14" s="45"/>
    </row>
    <row r="15" spans="1:14" s="5" customFormat="1" ht="13.5">
      <c r="A15" s="1511" t="s">
        <v>300</v>
      </c>
      <c r="B15" s="1511" t="s">
        <v>25</v>
      </c>
      <c r="C15" s="1511"/>
      <c r="D15" s="1511" t="s">
        <v>26</v>
      </c>
      <c r="E15" s="1511" t="s">
        <v>1</v>
      </c>
      <c r="F15" s="1511" t="s">
        <v>2</v>
      </c>
      <c r="G15" s="1509" t="s">
        <v>232</v>
      </c>
      <c r="H15" s="1509"/>
      <c r="I15" s="1509" t="s">
        <v>30</v>
      </c>
      <c r="J15" s="1509"/>
      <c r="K15" s="1510" t="s">
        <v>31</v>
      </c>
      <c r="L15" s="1510"/>
      <c r="M15" s="1511" t="s">
        <v>32</v>
      </c>
    </row>
    <row r="16" spans="1:14" s="5" customFormat="1" ht="14.25" customHeight="1">
      <c r="A16" s="1511"/>
      <c r="B16" s="1511"/>
      <c r="C16" s="1511"/>
      <c r="D16" s="1511"/>
      <c r="E16" s="1511"/>
      <c r="F16" s="1511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1"/>
    </row>
    <row r="17" spans="1:14" s="5" customFormat="1" ht="13.5" customHeight="1">
      <c r="A17" s="237">
        <v>44895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35714.278670473956</v>
      </c>
      <c r="L17" s="241">
        <v>4993.5686105835794</v>
      </c>
      <c r="M17" s="240"/>
      <c r="N17" s="45">
        <v>4993.5665847811088</v>
      </c>
    </row>
    <row r="18" spans="1:14" s="5" customFormat="1" ht="13.5" customHeight="1">
      <c r="A18" s="57">
        <v>44908</v>
      </c>
      <c r="B18" s="181" t="s">
        <v>421</v>
      </c>
      <c r="C18" s="182"/>
      <c r="D18" s="60"/>
      <c r="E18" s="59"/>
      <c r="F18" s="61"/>
      <c r="G18" s="183">
        <v>168306.45</v>
      </c>
      <c r="H18" s="62">
        <v>24225.32</v>
      </c>
      <c r="I18" s="270"/>
      <c r="J18" s="183"/>
      <c r="K18" s="270">
        <f t="shared" ref="K18:L20" si="1">K17+G18-I18</f>
        <v>204020.72867047397</v>
      </c>
      <c r="L18" s="62">
        <f t="shared" si="1"/>
        <v>29218.888610583577</v>
      </c>
      <c r="M18" s="58"/>
      <c r="N18" s="45"/>
    </row>
    <row r="19" spans="1:14" s="5" customFormat="1" ht="13.5" customHeight="1">
      <c r="A19" s="57">
        <v>44908</v>
      </c>
      <c r="B19" s="181" t="s">
        <v>445</v>
      </c>
      <c r="C19" s="182"/>
      <c r="D19" s="60">
        <v>1</v>
      </c>
      <c r="E19" s="59" t="s">
        <v>481</v>
      </c>
      <c r="F19" s="61"/>
      <c r="G19" s="183"/>
      <c r="H19" s="62"/>
      <c r="I19" s="270"/>
      <c r="J19" s="54">
        <v>26</v>
      </c>
      <c r="K19" s="270">
        <f t="shared" si="1"/>
        <v>204020.72867047397</v>
      </c>
      <c r="L19" s="62">
        <f t="shared" si="1"/>
        <v>29192.888610583577</v>
      </c>
      <c r="M19" s="58"/>
      <c r="N19" s="45"/>
    </row>
    <row r="20" spans="1:14" s="5" customFormat="1" ht="13.5" customHeight="1">
      <c r="A20" s="263">
        <v>44916</v>
      </c>
      <c r="B20" s="247" t="s">
        <v>450</v>
      </c>
      <c r="C20" s="160"/>
      <c r="D20" s="37">
        <v>2</v>
      </c>
      <c r="E20" s="33" t="s">
        <v>366</v>
      </c>
      <c r="F20" s="35"/>
      <c r="G20" s="103">
        <v>94.71</v>
      </c>
      <c r="H20" s="53">
        <f>G20/'통장내역(환율표)'!$D$61</f>
        <v>13.242226094585867</v>
      </c>
      <c r="I20" s="271"/>
      <c r="J20" s="53">
        <f>I20/'통장내역(환율표)'!$D$61</f>
        <v>0</v>
      </c>
      <c r="K20" s="271">
        <f t="shared" si="1"/>
        <v>204115.43867047396</v>
      </c>
      <c r="L20" s="38">
        <f t="shared" si="1"/>
        <v>29206.130836678163</v>
      </c>
      <c r="M20" s="284">
        <v>18116</v>
      </c>
      <c r="N20" s="45">
        <f>N17-J20+H20</f>
        <v>5006.8088108756947</v>
      </c>
    </row>
    <row r="21" spans="1:14" s="5" customFormat="1" ht="13.5" customHeight="1">
      <c r="A21" s="263">
        <v>44920</v>
      </c>
      <c r="B21" s="247" t="s">
        <v>454</v>
      </c>
      <c r="C21" s="160"/>
      <c r="D21" s="37">
        <v>3</v>
      </c>
      <c r="E21" s="33" t="s">
        <v>481</v>
      </c>
      <c r="F21" s="35"/>
      <c r="G21" s="103"/>
      <c r="H21" s="38"/>
      <c r="I21" s="275">
        <v>7599.43</v>
      </c>
      <c r="J21" s="53">
        <f>I21/'통장내역(환율표)'!$D$61</f>
        <v>1062.5421840352517</v>
      </c>
      <c r="K21" s="271">
        <f t="shared" ref="K21:L24" si="2">K20+G21-I21</f>
        <v>196516.00867047397</v>
      </c>
      <c r="L21" s="38">
        <f t="shared" si="2"/>
        <v>28143.588652642913</v>
      </c>
      <c r="M21" s="34" t="s">
        <v>451</v>
      </c>
      <c r="N21" s="45">
        <f>N20-J21+H21</f>
        <v>3944.2666268404428</v>
      </c>
    </row>
    <row r="22" spans="1:14" s="5" customFormat="1" ht="13.5" customHeight="1">
      <c r="A22" s="263">
        <v>44920</v>
      </c>
      <c r="B22" s="247" t="s">
        <v>455</v>
      </c>
      <c r="C22" s="160"/>
      <c r="D22" s="37">
        <v>3</v>
      </c>
      <c r="E22" s="33" t="s">
        <v>21</v>
      </c>
      <c r="F22" s="35"/>
      <c r="G22" s="103"/>
      <c r="H22" s="38"/>
      <c r="I22" s="275">
        <v>5104.5900000000038</v>
      </c>
      <c r="J22" s="53">
        <f>I22/'통장내역(환율표)'!$D$61</f>
        <v>713.71697708966451</v>
      </c>
      <c r="K22" s="271">
        <f t="shared" si="2"/>
        <v>191411.41867047397</v>
      </c>
      <c r="L22" s="38">
        <f t="shared" si="2"/>
        <v>27429.871675553248</v>
      </c>
      <c r="M22" s="34" t="s">
        <v>451</v>
      </c>
      <c r="N22" s="45">
        <f>N21-J22+H22</f>
        <v>3230.5496497507784</v>
      </c>
    </row>
    <row r="23" spans="1:14" s="5" customFormat="1" ht="13.5" customHeight="1">
      <c r="A23" s="263">
        <v>44920</v>
      </c>
      <c r="B23" s="247" t="s">
        <v>456</v>
      </c>
      <c r="C23" s="160"/>
      <c r="D23" s="37">
        <v>3</v>
      </c>
      <c r="E23" s="33" t="s">
        <v>21</v>
      </c>
      <c r="F23" s="35"/>
      <c r="G23" s="103"/>
      <c r="H23" s="38"/>
      <c r="I23" s="275">
        <v>13500</v>
      </c>
      <c r="J23" s="53">
        <f>I23/'통장내역(환율표)'!$D$61</f>
        <v>1887.5520248855371</v>
      </c>
      <c r="K23" s="271">
        <f t="shared" si="2"/>
        <v>177911.41867047397</v>
      </c>
      <c r="L23" s="38">
        <f t="shared" si="2"/>
        <v>25542.319650667712</v>
      </c>
      <c r="M23" s="34" t="s">
        <v>451</v>
      </c>
      <c r="N23" s="45">
        <f>N22-J23+H23</f>
        <v>1342.9976248652413</v>
      </c>
    </row>
    <row r="24" spans="1:14" s="5" customFormat="1" ht="13.5" customHeight="1">
      <c r="A24" s="279">
        <v>44920</v>
      </c>
      <c r="B24" s="280" t="s">
        <v>482</v>
      </c>
      <c r="C24" s="158"/>
      <c r="D24" s="150">
        <v>3</v>
      </c>
      <c r="E24" s="151" t="s">
        <v>21</v>
      </c>
      <c r="F24" s="152"/>
      <c r="G24" s="281"/>
      <c r="H24" s="153"/>
      <c r="I24" s="282">
        <f>J24*'통장내역(환율표)'!$D$61</f>
        <v>9605.2811772328259</v>
      </c>
      <c r="J24" s="53">
        <v>1342.9976248652413</v>
      </c>
      <c r="K24" s="283">
        <f t="shared" si="2"/>
        <v>168306.13749324114</v>
      </c>
      <c r="L24" s="153">
        <f t="shared" si="2"/>
        <v>24199.32202580247</v>
      </c>
      <c r="M24" s="154" t="s">
        <v>451</v>
      </c>
      <c r="N24" s="45">
        <f>N23-J24+H24</f>
        <v>0</v>
      </c>
    </row>
    <row r="25" spans="1:14" s="5" customFormat="1" ht="13.5" customHeight="1">
      <c r="A25" s="279">
        <v>44920</v>
      </c>
      <c r="B25" s="280" t="s">
        <v>482</v>
      </c>
      <c r="C25" s="158"/>
      <c r="D25" s="150">
        <v>3</v>
      </c>
      <c r="E25" s="151" t="s">
        <v>21</v>
      </c>
      <c r="F25" s="152"/>
      <c r="G25" s="281"/>
      <c r="H25" s="153"/>
      <c r="I25" s="282">
        <f>20000-I24</f>
        <v>10394.718822767174</v>
      </c>
      <c r="J25" s="54">
        <f>I25/'통장내역(환율표)'!$D$66</f>
        <v>1494.5661743929961</v>
      </c>
      <c r="K25" s="283">
        <f t="shared" ref="K25:K69" si="3">K24+G25-I25</f>
        <v>157911.41867047397</v>
      </c>
      <c r="L25" s="153">
        <f t="shared" ref="L25:L69" si="4">L24+H25-J25</f>
        <v>22704.755851409474</v>
      </c>
      <c r="M25" s="154" t="s">
        <v>451</v>
      </c>
      <c r="N25" s="45">
        <f>24199.32-J25</f>
        <v>22704.753825607004</v>
      </c>
    </row>
    <row r="26" spans="1:14" s="5" customFormat="1" ht="12.75" customHeight="1">
      <c r="A26" s="263">
        <v>44920</v>
      </c>
      <c r="B26" s="247" t="s">
        <v>458</v>
      </c>
      <c r="C26" s="160"/>
      <c r="D26" s="37">
        <v>3</v>
      </c>
      <c r="E26" s="33" t="s">
        <v>21</v>
      </c>
      <c r="F26" s="35"/>
      <c r="G26" s="103"/>
      <c r="H26" s="38"/>
      <c r="I26" s="275">
        <v>300</v>
      </c>
      <c r="J26" s="54">
        <f>I26/'통장내역(환율표)'!$D$66</f>
        <v>43.134389680252887</v>
      </c>
      <c r="K26" s="271">
        <f t="shared" si="3"/>
        <v>157611.41867047397</v>
      </c>
      <c r="L26" s="38">
        <f t="shared" si="4"/>
        <v>22661.621461729221</v>
      </c>
      <c r="M26" s="34" t="s">
        <v>451</v>
      </c>
      <c r="N26" s="45">
        <f>N25-J26+H26</f>
        <v>22661.61943592675</v>
      </c>
    </row>
    <row r="27" spans="1:14" s="5" customFormat="1" ht="13.5" customHeight="1">
      <c r="A27" s="263">
        <v>44920</v>
      </c>
      <c r="B27" s="247" t="s">
        <v>454</v>
      </c>
      <c r="C27" s="160"/>
      <c r="D27" s="37">
        <v>3</v>
      </c>
      <c r="E27" s="33" t="s">
        <v>21</v>
      </c>
      <c r="F27" s="35"/>
      <c r="G27" s="103"/>
      <c r="H27" s="38"/>
      <c r="I27" s="275">
        <v>4224.43</v>
      </c>
      <c r="J27" s="54">
        <f>I27/'통장내역(환율표)'!$D$66</f>
        <v>607.39403265650242</v>
      </c>
      <c r="K27" s="271">
        <f t="shared" si="3"/>
        <v>153386.98867047398</v>
      </c>
      <c r="L27" s="38">
        <f t="shared" si="4"/>
        <v>22054.227429072718</v>
      </c>
      <c r="M27" s="34" t="s">
        <v>452</v>
      </c>
      <c r="N27" s="45">
        <f t="shared" ref="N27:N69" si="5">N26-J27+H27</f>
        <v>22054.225403270248</v>
      </c>
    </row>
    <row r="28" spans="1:14" s="5" customFormat="1" ht="13.5" customHeight="1">
      <c r="A28" s="263">
        <v>44920</v>
      </c>
      <c r="B28" s="247" t="s">
        <v>455</v>
      </c>
      <c r="C28" s="160"/>
      <c r="D28" s="37">
        <v>3</v>
      </c>
      <c r="E28" s="33" t="s">
        <v>21</v>
      </c>
      <c r="F28" s="35"/>
      <c r="G28" s="103"/>
      <c r="H28" s="38"/>
      <c r="I28" s="275">
        <v>2114.2900000000009</v>
      </c>
      <c r="J28" s="54">
        <f>I28/'통장내역(환율표)'!$D$66</f>
        <v>303.99536252353971</v>
      </c>
      <c r="K28" s="271">
        <f t="shared" si="3"/>
        <v>151272.69867047397</v>
      </c>
      <c r="L28" s="38">
        <f t="shared" si="4"/>
        <v>21750.232066549179</v>
      </c>
      <c r="M28" s="34" t="s">
        <v>452</v>
      </c>
      <c r="N28" s="45">
        <f t="shared" si="5"/>
        <v>21750.230040746708</v>
      </c>
    </row>
    <row r="29" spans="1:14" s="5" customFormat="1" ht="13.5" customHeight="1">
      <c r="A29" s="263">
        <v>44920</v>
      </c>
      <c r="B29" s="247" t="s">
        <v>456</v>
      </c>
      <c r="C29" s="160"/>
      <c r="D29" s="37">
        <v>3</v>
      </c>
      <c r="E29" s="33" t="s">
        <v>21</v>
      </c>
      <c r="F29" s="35"/>
      <c r="G29" s="103"/>
      <c r="H29" s="38"/>
      <c r="I29" s="275">
        <v>13500</v>
      </c>
      <c r="J29" s="54">
        <f>I29/'통장내역(환율표)'!$D$66</f>
        <v>1941.04753561138</v>
      </c>
      <c r="K29" s="271">
        <f t="shared" si="3"/>
        <v>137772.69867047397</v>
      </c>
      <c r="L29" s="38">
        <f t="shared" si="4"/>
        <v>19809.1845309378</v>
      </c>
      <c r="M29" s="34" t="s">
        <v>452</v>
      </c>
      <c r="N29" s="45">
        <f t="shared" si="5"/>
        <v>19809.18250513533</v>
      </c>
    </row>
    <row r="30" spans="1:14" s="5" customFormat="1" ht="13.5" customHeight="1">
      <c r="A30" s="263">
        <v>44920</v>
      </c>
      <c r="B30" s="247" t="s">
        <v>457</v>
      </c>
      <c r="C30" s="160"/>
      <c r="D30" s="37">
        <v>3</v>
      </c>
      <c r="E30" s="33" t="s">
        <v>21</v>
      </c>
      <c r="F30" s="35"/>
      <c r="G30" s="103"/>
      <c r="H30" s="38"/>
      <c r="I30" s="275">
        <v>14000</v>
      </c>
      <c r="J30" s="54">
        <f>I30/'통장내역(환율표)'!$D$66</f>
        <v>2012.9381850784682</v>
      </c>
      <c r="K30" s="271">
        <f t="shared" si="3"/>
        <v>123772.69867047397</v>
      </c>
      <c r="L30" s="38">
        <f t="shared" si="4"/>
        <v>17796.246345859334</v>
      </c>
      <c r="M30" s="34" t="s">
        <v>452</v>
      </c>
      <c r="N30" s="45">
        <f t="shared" si="5"/>
        <v>17796.244320056863</v>
      </c>
    </row>
    <row r="31" spans="1:14" s="5" customFormat="1" ht="13.5" customHeight="1">
      <c r="A31" s="263">
        <v>44920</v>
      </c>
      <c r="B31" s="247" t="s">
        <v>458</v>
      </c>
      <c r="C31" s="160"/>
      <c r="D31" s="37">
        <v>3</v>
      </c>
      <c r="E31" s="33" t="s">
        <v>21</v>
      </c>
      <c r="F31" s="35"/>
      <c r="G31" s="103"/>
      <c r="H31" s="38"/>
      <c r="I31" s="275">
        <v>300</v>
      </c>
      <c r="J31" s="54">
        <f>I31/'통장내역(환율표)'!$D$66</f>
        <v>43.134389680252887</v>
      </c>
      <c r="K31" s="271">
        <f t="shared" si="3"/>
        <v>123472.69867047397</v>
      </c>
      <c r="L31" s="38">
        <f t="shared" si="4"/>
        <v>17753.11195617908</v>
      </c>
      <c r="M31" s="34" t="s">
        <v>452</v>
      </c>
      <c r="N31" s="45">
        <f t="shared" si="5"/>
        <v>17753.10993037661</v>
      </c>
    </row>
    <row r="32" spans="1:14" s="5" customFormat="1" ht="13.5" customHeight="1">
      <c r="A32" s="263">
        <v>44920</v>
      </c>
      <c r="B32" s="247" t="s">
        <v>454</v>
      </c>
      <c r="C32" s="160"/>
      <c r="D32" s="37">
        <v>3</v>
      </c>
      <c r="E32" s="33" t="s">
        <v>21</v>
      </c>
      <c r="F32" s="35"/>
      <c r="G32" s="103"/>
      <c r="H32" s="38"/>
      <c r="I32" s="275">
        <v>8308.0999999999985</v>
      </c>
      <c r="J32" s="54">
        <f>I32/'통장내역(환율표)'!$D$66</f>
        <v>1194.5494096750299</v>
      </c>
      <c r="K32" s="271">
        <f t="shared" si="3"/>
        <v>115164.59867047396</v>
      </c>
      <c r="L32" s="38">
        <f t="shared" si="4"/>
        <v>16558.56254650405</v>
      </c>
      <c r="M32" s="34" t="s">
        <v>453</v>
      </c>
      <c r="N32" s="45">
        <f t="shared" si="5"/>
        <v>16558.56052070158</v>
      </c>
    </row>
    <row r="33" spans="1:14" s="5" customFormat="1" ht="13.5" customHeight="1">
      <c r="A33" s="263">
        <v>44920</v>
      </c>
      <c r="B33" s="247" t="s">
        <v>455</v>
      </c>
      <c r="C33" s="160"/>
      <c r="D33" s="37">
        <v>3</v>
      </c>
      <c r="E33" s="33" t="s">
        <v>21</v>
      </c>
      <c r="F33" s="35"/>
      <c r="G33" s="103"/>
      <c r="H33" s="38"/>
      <c r="I33" s="275">
        <v>1672.25</v>
      </c>
      <c r="J33" s="54">
        <f>I33/'통장내역(환율표)'!$D$66</f>
        <v>240.43827714267633</v>
      </c>
      <c r="K33" s="271">
        <f t="shared" si="3"/>
        <v>113492.34867047396</v>
      </c>
      <c r="L33" s="38">
        <f t="shared" si="4"/>
        <v>16318.124269361373</v>
      </c>
      <c r="M33" s="34" t="s">
        <v>453</v>
      </c>
      <c r="N33" s="45">
        <f t="shared" si="5"/>
        <v>16318.122243558902</v>
      </c>
    </row>
    <row r="34" spans="1:14" s="5" customFormat="1" ht="13.5" customHeight="1">
      <c r="A34" s="263">
        <v>44920</v>
      </c>
      <c r="B34" s="247" t="s">
        <v>456</v>
      </c>
      <c r="C34" s="160"/>
      <c r="D34" s="37">
        <v>3</v>
      </c>
      <c r="E34" s="33" t="s">
        <v>21</v>
      </c>
      <c r="F34" s="35"/>
      <c r="G34" s="103"/>
      <c r="H34" s="38"/>
      <c r="I34" s="275">
        <v>20050.339999999997</v>
      </c>
      <c r="J34" s="54">
        <f>I34/'통장내역(환율표)'!$D$66</f>
        <v>2882.8639292718717</v>
      </c>
      <c r="K34" s="271">
        <f t="shared" si="3"/>
        <v>93442.008670473966</v>
      </c>
      <c r="L34" s="38">
        <f t="shared" si="4"/>
        <v>13435.260340089502</v>
      </c>
      <c r="M34" s="34" t="s">
        <v>453</v>
      </c>
      <c r="N34" s="45">
        <f t="shared" si="5"/>
        <v>13435.258314287032</v>
      </c>
    </row>
    <row r="35" spans="1:14" s="5" customFormat="1" ht="13.5" customHeight="1">
      <c r="A35" s="263">
        <v>44920</v>
      </c>
      <c r="B35" s="247" t="s">
        <v>458</v>
      </c>
      <c r="C35" s="160"/>
      <c r="D35" s="37">
        <v>3</v>
      </c>
      <c r="E35" s="33" t="s">
        <v>21</v>
      </c>
      <c r="F35" s="35"/>
      <c r="G35" s="103"/>
      <c r="H35" s="38"/>
      <c r="I35" s="275">
        <v>300</v>
      </c>
      <c r="J35" s="54">
        <f>I35/'통장내역(환율표)'!$D$66</f>
        <v>43.134389680252887</v>
      </c>
      <c r="K35" s="271">
        <f t="shared" si="3"/>
        <v>93142.008670473966</v>
      </c>
      <c r="L35" s="38">
        <f t="shared" si="4"/>
        <v>13392.125950409249</v>
      </c>
      <c r="M35" s="34" t="s">
        <v>453</v>
      </c>
      <c r="N35" s="45">
        <f t="shared" si="5"/>
        <v>13392.123924606778</v>
      </c>
    </row>
    <row r="36" spans="1:14" s="5" customFormat="1" ht="13.5" customHeight="1">
      <c r="A36" s="263">
        <v>44920</v>
      </c>
      <c r="B36" s="247" t="s">
        <v>459</v>
      </c>
      <c r="C36" s="272"/>
      <c r="D36" s="37">
        <v>3</v>
      </c>
      <c r="E36" s="33" t="s">
        <v>21</v>
      </c>
      <c r="F36" s="35"/>
      <c r="G36" s="103"/>
      <c r="H36" s="38"/>
      <c r="I36" s="275">
        <v>12</v>
      </c>
      <c r="J36" s="54">
        <f>I36/'통장내역(환율표)'!$D$66</f>
        <v>1.7253755872101155</v>
      </c>
      <c r="K36" s="271">
        <f t="shared" si="3"/>
        <v>93130.008670473966</v>
      </c>
      <c r="L36" s="38">
        <f t="shared" si="4"/>
        <v>13390.400574822039</v>
      </c>
      <c r="M36" s="34"/>
      <c r="N36" s="45">
        <f t="shared" si="5"/>
        <v>13390.398549019568</v>
      </c>
    </row>
    <row r="37" spans="1:14" s="5" customFormat="1" ht="13.5" customHeight="1">
      <c r="A37" s="263">
        <v>44920</v>
      </c>
      <c r="B37" s="247" t="s">
        <v>460</v>
      </c>
      <c r="C37" s="272"/>
      <c r="D37" s="37" t="s">
        <v>490</v>
      </c>
      <c r="E37" s="33" t="s">
        <v>15</v>
      </c>
      <c r="F37" s="35" t="s">
        <v>483</v>
      </c>
      <c r="G37" s="103"/>
      <c r="H37" s="38"/>
      <c r="I37" s="275">
        <v>19440</v>
      </c>
      <c r="J37" s="54">
        <f>I37/'통장내역(환율표)'!$D$66</f>
        <v>2795.1084512803873</v>
      </c>
      <c r="K37" s="271">
        <f t="shared" si="3"/>
        <v>73690.008670473966</v>
      </c>
      <c r="L37" s="38">
        <f t="shared" si="4"/>
        <v>10595.292123541651</v>
      </c>
      <c r="M37" s="34"/>
      <c r="N37" s="45">
        <f t="shared" si="5"/>
        <v>10595.29009773918</v>
      </c>
    </row>
    <row r="38" spans="1:14" s="5" customFormat="1" ht="13.5" customHeight="1">
      <c r="A38" s="263">
        <v>44920</v>
      </c>
      <c r="B38" s="247" t="s">
        <v>459</v>
      </c>
      <c r="C38" s="272"/>
      <c r="D38" s="37">
        <v>4</v>
      </c>
      <c r="E38" s="33" t="s">
        <v>21</v>
      </c>
      <c r="F38" s="35"/>
      <c r="G38" s="103"/>
      <c r="H38" s="38"/>
      <c r="I38" s="275">
        <v>7.2</v>
      </c>
      <c r="J38" s="54">
        <f>I38/'통장내역(환율표)'!$D$66</f>
        <v>1.0352253523260693</v>
      </c>
      <c r="K38" s="271">
        <f t="shared" si="3"/>
        <v>73682.808670473969</v>
      </c>
      <c r="L38" s="38">
        <f t="shared" si="4"/>
        <v>10594.256898189324</v>
      </c>
      <c r="M38" s="34"/>
      <c r="N38" s="45">
        <f t="shared" si="5"/>
        <v>10594.254872386853</v>
      </c>
    </row>
    <row r="39" spans="1:14" s="5" customFormat="1" ht="13.5" customHeight="1">
      <c r="A39" s="263">
        <v>44920</v>
      </c>
      <c r="B39" s="247" t="s">
        <v>461</v>
      </c>
      <c r="C39" s="272"/>
      <c r="D39" s="37">
        <v>5</v>
      </c>
      <c r="E39" s="33" t="s">
        <v>21</v>
      </c>
      <c r="F39" s="35"/>
      <c r="G39" s="103"/>
      <c r="H39" s="38"/>
      <c r="I39" s="276">
        <v>1000</v>
      </c>
      <c r="J39" s="54">
        <f>I39/'통장내역(환율표)'!$D$66</f>
        <v>143.78129893417631</v>
      </c>
      <c r="K39" s="271">
        <f t="shared" si="3"/>
        <v>72682.808670473969</v>
      </c>
      <c r="L39" s="38">
        <f t="shared" si="4"/>
        <v>10450.475599255147</v>
      </c>
      <c r="M39" s="34"/>
      <c r="N39" s="45">
        <f t="shared" si="5"/>
        <v>10450.473573452677</v>
      </c>
    </row>
    <row r="40" spans="1:14" s="5" customFormat="1" ht="13.5" customHeight="1">
      <c r="A40" s="263">
        <v>44920</v>
      </c>
      <c r="B40" s="247" t="s">
        <v>459</v>
      </c>
      <c r="C40" s="272"/>
      <c r="D40" s="37">
        <v>5</v>
      </c>
      <c r="E40" s="33" t="s">
        <v>21</v>
      </c>
      <c r="F40" s="35"/>
      <c r="G40" s="103"/>
      <c r="H40" s="38"/>
      <c r="I40" s="276">
        <v>3.6</v>
      </c>
      <c r="J40" s="54">
        <f>I40/'통장내역(환율표)'!$D$66</f>
        <v>0.51761267616303464</v>
      </c>
      <c r="K40" s="271">
        <f t="shared" si="3"/>
        <v>72679.208670473963</v>
      </c>
      <c r="L40" s="38">
        <f t="shared" si="4"/>
        <v>10449.957986578984</v>
      </c>
      <c r="M40" s="34"/>
      <c r="N40" s="45">
        <f t="shared" si="5"/>
        <v>10449.955960776513</v>
      </c>
    </row>
    <row r="41" spans="1:14" s="5" customFormat="1" ht="13.5" customHeight="1">
      <c r="A41" s="263">
        <v>44920</v>
      </c>
      <c r="B41" s="247" t="s">
        <v>462</v>
      </c>
      <c r="C41" s="272"/>
      <c r="D41" s="37">
        <v>6</v>
      </c>
      <c r="E41" s="33" t="s">
        <v>15</v>
      </c>
      <c r="F41" s="35" t="s">
        <v>226</v>
      </c>
      <c r="G41" s="103"/>
      <c r="H41" s="38"/>
      <c r="I41" s="276">
        <v>10500</v>
      </c>
      <c r="J41" s="54">
        <f>I41/'통장내역(환율표)'!$D$66</f>
        <v>1509.7036388088511</v>
      </c>
      <c r="K41" s="271">
        <f t="shared" si="3"/>
        <v>62179.208670473963</v>
      </c>
      <c r="L41" s="38">
        <f t="shared" si="4"/>
        <v>8940.2543477701329</v>
      </c>
      <c r="M41" s="34"/>
      <c r="N41" s="45">
        <f t="shared" si="5"/>
        <v>8940.2523219676623</v>
      </c>
    </row>
    <row r="42" spans="1:14" s="5" customFormat="1" ht="13.5" customHeight="1">
      <c r="A42" s="263">
        <v>44920</v>
      </c>
      <c r="B42" s="247" t="s">
        <v>463</v>
      </c>
      <c r="C42" s="272"/>
      <c r="D42" s="37">
        <v>6</v>
      </c>
      <c r="E42" s="33" t="s">
        <v>21</v>
      </c>
      <c r="F42" s="35"/>
      <c r="G42" s="103"/>
      <c r="H42" s="38"/>
      <c r="I42" s="276">
        <v>6000</v>
      </c>
      <c r="J42" s="54">
        <f>I42/'통장내역(환율표)'!$D$66</f>
        <v>862.68779360505778</v>
      </c>
      <c r="K42" s="271">
        <f t="shared" si="3"/>
        <v>56179.208670473963</v>
      </c>
      <c r="L42" s="38">
        <f t="shared" si="4"/>
        <v>8077.5665541650751</v>
      </c>
      <c r="M42" s="34"/>
      <c r="N42" s="45">
        <f t="shared" si="5"/>
        <v>8077.5645283626045</v>
      </c>
    </row>
    <row r="43" spans="1:14" s="5" customFormat="1" ht="13.5" customHeight="1">
      <c r="A43" s="263">
        <v>44920</v>
      </c>
      <c r="B43" s="247" t="s">
        <v>464</v>
      </c>
      <c r="C43" s="272"/>
      <c r="D43" s="37">
        <v>6</v>
      </c>
      <c r="E43" s="33" t="s">
        <v>21</v>
      </c>
      <c r="F43" s="35"/>
      <c r="G43" s="103"/>
      <c r="H43" s="38"/>
      <c r="I43" s="276">
        <v>240</v>
      </c>
      <c r="J43" s="54">
        <f>I43/'통장내역(환율표)'!$D$66</f>
        <v>34.507511744202311</v>
      </c>
      <c r="K43" s="271">
        <f t="shared" si="3"/>
        <v>55939.208670473963</v>
      </c>
      <c r="L43" s="38">
        <f t="shared" si="4"/>
        <v>8043.0590424208731</v>
      </c>
      <c r="M43" s="34"/>
      <c r="N43" s="45">
        <f t="shared" si="5"/>
        <v>8043.0570166184025</v>
      </c>
    </row>
    <row r="44" spans="1:14" s="5" customFormat="1" ht="13.5" customHeight="1">
      <c r="A44" s="263">
        <v>44920</v>
      </c>
      <c r="B44" s="247" t="s">
        <v>459</v>
      </c>
      <c r="C44" s="272"/>
      <c r="D44" s="37">
        <v>6</v>
      </c>
      <c r="E44" s="33" t="s">
        <v>21</v>
      </c>
      <c r="F44" s="35"/>
      <c r="G44" s="103"/>
      <c r="H44" s="38"/>
      <c r="I44" s="276">
        <v>7.2</v>
      </c>
      <c r="J44" s="54">
        <f>I44/'통장내역(환율표)'!$D$66</f>
        <v>1.0352253523260693</v>
      </c>
      <c r="K44" s="271">
        <f t="shared" si="3"/>
        <v>55932.008670473966</v>
      </c>
      <c r="L44" s="38">
        <f t="shared" si="4"/>
        <v>8042.023817068547</v>
      </c>
      <c r="M44" s="34"/>
      <c r="N44" s="45">
        <f t="shared" si="5"/>
        <v>8042.0217912660764</v>
      </c>
    </row>
    <row r="45" spans="1:14" s="5" customFormat="1" ht="13.5" customHeight="1">
      <c r="A45" s="263">
        <v>44920</v>
      </c>
      <c r="B45" s="247" t="s">
        <v>465</v>
      </c>
      <c r="C45" s="272"/>
      <c r="D45" s="37">
        <v>7</v>
      </c>
      <c r="E45" s="33" t="s">
        <v>21</v>
      </c>
      <c r="F45" s="35"/>
      <c r="G45" s="103"/>
      <c r="H45" s="38"/>
      <c r="I45" s="277">
        <v>1267.9100000000001</v>
      </c>
      <c r="J45" s="54">
        <f>I45/'통장내역(환율표)'!$D$66</f>
        <v>182.30174673163148</v>
      </c>
      <c r="K45" s="271">
        <f t="shared" si="3"/>
        <v>54664.098670473963</v>
      </c>
      <c r="L45" s="38">
        <f t="shared" si="4"/>
        <v>7859.7220703369157</v>
      </c>
      <c r="M45" s="34" t="s">
        <v>478</v>
      </c>
      <c r="N45" s="45">
        <f t="shared" si="5"/>
        <v>7859.7200445344452</v>
      </c>
    </row>
    <row r="46" spans="1:14" s="5" customFormat="1" ht="13.5" customHeight="1">
      <c r="A46" s="263">
        <v>44920</v>
      </c>
      <c r="B46" s="247" t="s">
        <v>459</v>
      </c>
      <c r="C46" s="272"/>
      <c r="D46" s="37">
        <v>7</v>
      </c>
      <c r="E46" s="33" t="s">
        <v>21</v>
      </c>
      <c r="F46" s="35"/>
      <c r="G46" s="103"/>
      <c r="H46" s="38"/>
      <c r="I46" s="277">
        <v>3.6</v>
      </c>
      <c r="J46" s="54">
        <f>I46/'통장내역(환율표)'!$D$66</f>
        <v>0.51761267616303464</v>
      </c>
      <c r="K46" s="271">
        <f t="shared" si="3"/>
        <v>54660.498670473964</v>
      </c>
      <c r="L46" s="38">
        <f t="shared" si="4"/>
        <v>7859.2044576607523</v>
      </c>
      <c r="M46" s="34"/>
      <c r="N46" s="45">
        <f t="shared" si="5"/>
        <v>7859.2024318582817</v>
      </c>
    </row>
    <row r="47" spans="1:14" s="5" customFormat="1" ht="12.75" customHeight="1">
      <c r="A47" s="263">
        <v>44920</v>
      </c>
      <c r="B47" s="247" t="s">
        <v>466</v>
      </c>
      <c r="C47" s="272"/>
      <c r="D47" s="37">
        <v>8</v>
      </c>
      <c r="E47" s="33" t="s">
        <v>13</v>
      </c>
      <c r="F47" s="35" t="s">
        <v>14</v>
      </c>
      <c r="G47" s="103"/>
      <c r="H47" s="38"/>
      <c r="I47" s="275">
        <v>1515</v>
      </c>
      <c r="J47" s="54">
        <v>217.83</v>
      </c>
      <c r="K47" s="271">
        <f t="shared" si="3"/>
        <v>53145.498670473964</v>
      </c>
      <c r="L47" s="38">
        <f t="shared" si="4"/>
        <v>7641.3744576607523</v>
      </c>
      <c r="M47" s="34"/>
      <c r="N47" s="45">
        <f t="shared" si="5"/>
        <v>7641.3724318582817</v>
      </c>
    </row>
    <row r="48" spans="1:14" s="5" customFormat="1" ht="12.75" customHeight="1">
      <c r="A48" s="263">
        <v>44920</v>
      </c>
      <c r="B48" s="247" t="s">
        <v>467</v>
      </c>
      <c r="C48" s="272"/>
      <c r="D48" s="37">
        <v>8</v>
      </c>
      <c r="E48" s="33" t="s">
        <v>13</v>
      </c>
      <c r="F48" s="35" t="s">
        <v>14</v>
      </c>
      <c r="G48" s="103"/>
      <c r="H48" s="38"/>
      <c r="I48" s="275">
        <v>910</v>
      </c>
      <c r="J48" s="54">
        <f>I48/'통장내역(환율표)'!$D$66</f>
        <v>130.84098203010043</v>
      </c>
      <c r="K48" s="271">
        <f t="shared" si="3"/>
        <v>52235.498670473964</v>
      </c>
      <c r="L48" s="38">
        <f t="shared" si="4"/>
        <v>7510.533475630652</v>
      </c>
      <c r="M48" s="34"/>
      <c r="N48" s="45">
        <f t="shared" si="5"/>
        <v>7510.5314498281814</v>
      </c>
    </row>
    <row r="49" spans="1:14" s="5" customFormat="1" ht="12.75" customHeight="1">
      <c r="A49" s="263">
        <v>44920</v>
      </c>
      <c r="B49" s="247" t="s">
        <v>468</v>
      </c>
      <c r="C49" s="272"/>
      <c r="D49" s="37">
        <v>8</v>
      </c>
      <c r="E49" s="33" t="s">
        <v>13</v>
      </c>
      <c r="F49" s="35" t="s">
        <v>14</v>
      </c>
      <c r="G49" s="103"/>
      <c r="H49" s="38"/>
      <c r="I49" s="275">
        <v>128</v>
      </c>
      <c r="J49" s="54">
        <f>I49/'통장내역(환율표)'!$D$66</f>
        <v>18.404006263574566</v>
      </c>
      <c r="K49" s="271">
        <f t="shared" si="3"/>
        <v>52107.498670473964</v>
      </c>
      <c r="L49" s="38">
        <f t="shared" si="4"/>
        <v>7492.129469367077</v>
      </c>
      <c r="M49" s="34"/>
      <c r="N49" s="45">
        <f t="shared" si="5"/>
        <v>7492.1274435646064</v>
      </c>
    </row>
    <row r="50" spans="1:14" s="5" customFormat="1" ht="12.75" customHeight="1">
      <c r="A50" s="263">
        <v>44920</v>
      </c>
      <c r="B50" s="247" t="s">
        <v>459</v>
      </c>
      <c r="C50" s="272"/>
      <c r="D50" s="37">
        <v>8</v>
      </c>
      <c r="E50" s="33" t="s">
        <v>21</v>
      </c>
      <c r="F50" s="35"/>
      <c r="G50" s="103"/>
      <c r="H50" s="38"/>
      <c r="I50" s="275">
        <v>3.6</v>
      </c>
      <c r="J50" s="54">
        <f>I50/'통장내역(환율표)'!$D$66</f>
        <v>0.51761267616303464</v>
      </c>
      <c r="K50" s="271">
        <f t="shared" si="3"/>
        <v>52103.898670473965</v>
      </c>
      <c r="L50" s="38">
        <f t="shared" si="4"/>
        <v>7491.6118566909136</v>
      </c>
      <c r="M50" s="34"/>
      <c r="N50" s="45">
        <f t="shared" si="5"/>
        <v>7491.609830888443</v>
      </c>
    </row>
    <row r="51" spans="1:14" s="5" customFormat="1" ht="13.5" customHeight="1">
      <c r="A51" s="263">
        <v>44920</v>
      </c>
      <c r="B51" s="247" t="s">
        <v>469</v>
      </c>
      <c r="C51" s="272"/>
      <c r="D51" s="37">
        <v>9</v>
      </c>
      <c r="E51" s="33" t="s">
        <v>13</v>
      </c>
      <c r="F51" s="35" t="s">
        <v>14</v>
      </c>
      <c r="G51" s="103"/>
      <c r="H51" s="38"/>
      <c r="I51" s="275">
        <v>3229.56</v>
      </c>
      <c r="J51" s="54">
        <f>I51/'통장내역(환율표)'!$D$66</f>
        <v>464.35033178585837</v>
      </c>
      <c r="K51" s="271">
        <f t="shared" si="3"/>
        <v>48874.338670473968</v>
      </c>
      <c r="L51" s="38">
        <f t="shared" si="4"/>
        <v>7027.261524905055</v>
      </c>
      <c r="M51" s="34"/>
      <c r="N51" s="45">
        <f t="shared" si="5"/>
        <v>7027.2594991025844</v>
      </c>
    </row>
    <row r="52" spans="1:14" s="5" customFormat="1" ht="13.5" customHeight="1">
      <c r="A52" s="263">
        <v>44920</v>
      </c>
      <c r="B52" s="247" t="s">
        <v>459</v>
      </c>
      <c r="C52" s="272"/>
      <c r="D52" s="37">
        <v>9</v>
      </c>
      <c r="E52" s="33" t="s">
        <v>21</v>
      </c>
      <c r="F52" s="35"/>
      <c r="G52" s="103"/>
      <c r="H52" s="38"/>
      <c r="I52" s="275">
        <v>3.6</v>
      </c>
      <c r="J52" s="54">
        <f>I52/'통장내역(환율표)'!$D$66</f>
        <v>0.51761267616303464</v>
      </c>
      <c r="K52" s="271">
        <f t="shared" si="3"/>
        <v>48870.738670473969</v>
      </c>
      <c r="L52" s="38">
        <f t="shared" si="4"/>
        <v>7026.7439122288915</v>
      </c>
      <c r="M52" s="34"/>
      <c r="N52" s="45">
        <f t="shared" si="5"/>
        <v>7026.7418864264209</v>
      </c>
    </row>
    <row r="53" spans="1:14" s="5" customFormat="1" ht="13.5" customHeight="1">
      <c r="A53" s="263">
        <v>44920</v>
      </c>
      <c r="B53" s="247" t="s">
        <v>470</v>
      </c>
      <c r="C53" s="272"/>
      <c r="D53" s="37">
        <v>10</v>
      </c>
      <c r="E53" s="33" t="s">
        <v>484</v>
      </c>
      <c r="F53" s="35" t="s">
        <v>485</v>
      </c>
      <c r="G53" s="103"/>
      <c r="H53" s="38"/>
      <c r="I53" s="275">
        <v>788</v>
      </c>
      <c r="J53" s="54">
        <f>I53/'통장내역(환율표)'!$D$66</f>
        <v>113.29966356013092</v>
      </c>
      <c r="K53" s="271">
        <f t="shared" si="3"/>
        <v>48082.738670473969</v>
      </c>
      <c r="L53" s="38">
        <f t="shared" si="4"/>
        <v>6913.4442486687603</v>
      </c>
      <c r="M53" s="34"/>
      <c r="N53" s="45">
        <f t="shared" si="5"/>
        <v>6913.4422228662897</v>
      </c>
    </row>
    <row r="54" spans="1:14" s="5" customFormat="1" ht="13.5" customHeight="1">
      <c r="A54" s="263">
        <v>44920</v>
      </c>
      <c r="B54" s="247" t="s">
        <v>459</v>
      </c>
      <c r="C54" s="272"/>
      <c r="D54" s="37">
        <v>10</v>
      </c>
      <c r="E54" s="33" t="s">
        <v>21</v>
      </c>
      <c r="F54" s="35"/>
      <c r="G54" s="103"/>
      <c r="H54" s="38"/>
      <c r="I54" s="275">
        <v>3.6</v>
      </c>
      <c r="J54" s="54">
        <f>I54/'통장내역(환율표)'!$D$66</f>
        <v>0.51761267616303464</v>
      </c>
      <c r="K54" s="271">
        <f t="shared" si="3"/>
        <v>48079.138670473971</v>
      </c>
      <c r="L54" s="38">
        <f t="shared" si="4"/>
        <v>6912.9266359925969</v>
      </c>
      <c r="M54" s="34"/>
      <c r="N54" s="45">
        <f t="shared" si="5"/>
        <v>6912.9246101901263</v>
      </c>
    </row>
    <row r="55" spans="1:14" s="5" customFormat="1" ht="13.5" customHeight="1">
      <c r="A55" s="263">
        <v>44920</v>
      </c>
      <c r="B55" s="247" t="s">
        <v>471</v>
      </c>
      <c r="C55" s="272"/>
      <c r="D55" s="37">
        <v>11</v>
      </c>
      <c r="E55" s="33" t="s">
        <v>481</v>
      </c>
      <c r="F55" s="35"/>
      <c r="G55" s="103"/>
      <c r="H55" s="38"/>
      <c r="I55" s="275">
        <v>535.44000000000005</v>
      </c>
      <c r="J55" s="54">
        <f>I55/'통장내역(환율표)'!$D$66</f>
        <v>76.986258701315364</v>
      </c>
      <c r="K55" s="271">
        <f t="shared" si="3"/>
        <v>47543.698670473968</v>
      </c>
      <c r="L55" s="38">
        <f t="shared" si="4"/>
        <v>6835.940377291281</v>
      </c>
      <c r="M55" s="34" t="s">
        <v>479</v>
      </c>
      <c r="N55" s="45">
        <f t="shared" si="5"/>
        <v>6835.9383514888104</v>
      </c>
    </row>
    <row r="56" spans="1:14" s="5" customFormat="1" ht="13.5" customHeight="1">
      <c r="A56" s="263">
        <v>44920</v>
      </c>
      <c r="B56" s="247" t="s">
        <v>471</v>
      </c>
      <c r="C56" s="272"/>
      <c r="D56" s="37">
        <v>11</v>
      </c>
      <c r="E56" s="33" t="s">
        <v>481</v>
      </c>
      <c r="F56" s="35"/>
      <c r="G56" s="103"/>
      <c r="H56" s="38"/>
      <c r="I56" s="275">
        <v>12</v>
      </c>
      <c r="J56" s="54">
        <f>I56/'통장내역(환율표)'!$D$66</f>
        <v>1.7253755872101155</v>
      </c>
      <c r="K56" s="271">
        <f t="shared" si="3"/>
        <v>47531.698670473968</v>
      </c>
      <c r="L56" s="38">
        <f t="shared" si="4"/>
        <v>6834.2150017040713</v>
      </c>
      <c r="M56" s="34" t="s">
        <v>480</v>
      </c>
      <c r="N56" s="45">
        <f t="shared" si="5"/>
        <v>6834.2129759016007</v>
      </c>
    </row>
    <row r="57" spans="1:14" s="5" customFormat="1" ht="13.5" customHeight="1">
      <c r="A57" s="263">
        <v>44920</v>
      </c>
      <c r="B57" s="247" t="s">
        <v>459</v>
      </c>
      <c r="C57" s="272"/>
      <c r="D57" s="37">
        <v>11</v>
      </c>
      <c r="E57" s="33" t="s">
        <v>21</v>
      </c>
      <c r="F57" s="35"/>
      <c r="G57" s="103"/>
      <c r="H57" s="38"/>
      <c r="I57" s="275">
        <v>3.6</v>
      </c>
      <c r="J57" s="54">
        <f>I57/'통장내역(환율표)'!$D$66</f>
        <v>0.51761267616303464</v>
      </c>
      <c r="K57" s="271">
        <f t="shared" si="3"/>
        <v>47528.09867047397</v>
      </c>
      <c r="L57" s="38">
        <f t="shared" si="4"/>
        <v>6833.6973890279078</v>
      </c>
      <c r="M57" s="34"/>
      <c r="N57" s="45">
        <f t="shared" si="5"/>
        <v>6833.6953632254372</v>
      </c>
    </row>
    <row r="58" spans="1:14" s="5" customFormat="1" ht="13.5" customHeight="1">
      <c r="A58" s="263">
        <v>44920</v>
      </c>
      <c r="B58" s="247" t="s">
        <v>472</v>
      </c>
      <c r="C58" s="273"/>
      <c r="D58" s="37">
        <v>12</v>
      </c>
      <c r="E58" s="33" t="s">
        <v>486</v>
      </c>
      <c r="F58" s="35" t="s">
        <v>487</v>
      </c>
      <c r="G58" s="103"/>
      <c r="H58" s="35"/>
      <c r="I58" s="275">
        <v>3283.56</v>
      </c>
      <c r="J58" s="54">
        <f>I58/'통장내역(환율표)'!$D$66</f>
        <v>472.11452192830393</v>
      </c>
      <c r="K58" s="271">
        <f t="shared" si="3"/>
        <v>44244.538670473972</v>
      </c>
      <c r="L58" s="38">
        <f t="shared" si="4"/>
        <v>6361.5828670996034</v>
      </c>
      <c r="M58" s="34"/>
      <c r="N58" s="45">
        <f t="shared" si="5"/>
        <v>6361.5808412971328</v>
      </c>
    </row>
    <row r="59" spans="1:14" s="5" customFormat="1" ht="13.5" customHeight="1">
      <c r="A59" s="263">
        <v>44920</v>
      </c>
      <c r="B59" s="247" t="s">
        <v>459</v>
      </c>
      <c r="C59" s="273"/>
      <c r="D59" s="37">
        <v>12</v>
      </c>
      <c r="E59" s="33" t="s">
        <v>21</v>
      </c>
      <c r="F59" s="35"/>
      <c r="G59" s="103"/>
      <c r="H59" s="35"/>
      <c r="I59" s="275">
        <v>3.6</v>
      </c>
      <c r="J59" s="54">
        <f>I59/'통장내역(환율표)'!$D$66</f>
        <v>0.51761267616303464</v>
      </c>
      <c r="K59" s="271">
        <f t="shared" si="3"/>
        <v>44240.938670473974</v>
      </c>
      <c r="L59" s="38">
        <f t="shared" si="4"/>
        <v>6361.0652544234399</v>
      </c>
      <c r="M59" s="34"/>
      <c r="N59" s="45">
        <f t="shared" si="5"/>
        <v>6361.0632286209693</v>
      </c>
    </row>
    <row r="60" spans="1:14" s="5" customFormat="1" ht="13.5" customHeight="1">
      <c r="A60" s="263">
        <v>44920</v>
      </c>
      <c r="B60" s="247" t="s">
        <v>473</v>
      </c>
      <c r="C60" s="273"/>
      <c r="D60" s="37">
        <v>13</v>
      </c>
      <c r="E60" s="33" t="s">
        <v>486</v>
      </c>
      <c r="F60" s="35" t="s">
        <v>487</v>
      </c>
      <c r="G60" s="103"/>
      <c r="H60" s="35"/>
      <c r="I60" s="275">
        <v>137</v>
      </c>
      <c r="J60" s="54">
        <v>19.7</v>
      </c>
      <c r="K60" s="271">
        <f t="shared" si="3"/>
        <v>44103.938670473974</v>
      </c>
      <c r="L60" s="38">
        <f t="shared" si="4"/>
        <v>6341.3652544234401</v>
      </c>
      <c r="M60" s="34"/>
      <c r="N60" s="45">
        <f t="shared" si="5"/>
        <v>6341.3632286209695</v>
      </c>
    </row>
    <row r="61" spans="1:14" s="5" customFormat="1" ht="13.5" customHeight="1">
      <c r="A61" s="263">
        <v>44920</v>
      </c>
      <c r="B61" s="247" t="s">
        <v>459</v>
      </c>
      <c r="C61" s="273"/>
      <c r="D61" s="37">
        <v>13</v>
      </c>
      <c r="E61" s="33" t="s">
        <v>21</v>
      </c>
      <c r="F61" s="35"/>
      <c r="G61" s="103"/>
      <c r="H61" s="35"/>
      <c r="I61" s="275">
        <v>3.6</v>
      </c>
      <c r="J61" s="54">
        <f>I61/'통장내역(환율표)'!$D$66</f>
        <v>0.51761267616303464</v>
      </c>
      <c r="K61" s="271">
        <f t="shared" si="3"/>
        <v>44100.338670473975</v>
      </c>
      <c r="L61" s="38">
        <f t="shared" si="4"/>
        <v>6340.8476417472766</v>
      </c>
      <c r="M61" s="34"/>
      <c r="N61" s="45">
        <f t="shared" si="5"/>
        <v>6340.845615944806</v>
      </c>
    </row>
    <row r="62" spans="1:14" s="5" customFormat="1" ht="13.5" customHeight="1">
      <c r="A62" s="263">
        <v>44920</v>
      </c>
      <c r="B62" s="247" t="s">
        <v>474</v>
      </c>
      <c r="C62" s="272"/>
      <c r="D62" s="37">
        <v>14</v>
      </c>
      <c r="E62" s="33" t="s">
        <v>488</v>
      </c>
      <c r="F62" s="35" t="s">
        <v>489</v>
      </c>
      <c r="G62" s="103"/>
      <c r="H62" s="38"/>
      <c r="I62" s="275">
        <v>396.5</v>
      </c>
      <c r="J62" s="54">
        <f>I62/'통장내역(환율표)'!$D$66</f>
        <v>57.0092850274009</v>
      </c>
      <c r="K62" s="271">
        <f t="shared" si="3"/>
        <v>43703.838670473975</v>
      </c>
      <c r="L62" s="38">
        <f t="shared" si="4"/>
        <v>6283.8383567198753</v>
      </c>
      <c r="M62" s="34"/>
      <c r="N62" s="45">
        <f t="shared" si="5"/>
        <v>6283.8363309174047</v>
      </c>
    </row>
    <row r="63" spans="1:14" s="5" customFormat="1" ht="13.5" customHeight="1">
      <c r="A63" s="263">
        <v>44920</v>
      </c>
      <c r="B63" s="247" t="s">
        <v>459</v>
      </c>
      <c r="C63" s="272"/>
      <c r="D63" s="37">
        <v>14</v>
      </c>
      <c r="E63" s="33" t="s">
        <v>21</v>
      </c>
      <c r="F63" s="35"/>
      <c r="G63" s="103"/>
      <c r="H63" s="38"/>
      <c r="I63" s="275">
        <v>3.6</v>
      </c>
      <c r="J63" s="54">
        <f>I63/'통장내역(환율표)'!$D$66</f>
        <v>0.51761267616303464</v>
      </c>
      <c r="K63" s="271">
        <f t="shared" si="3"/>
        <v>43700.238670473977</v>
      </c>
      <c r="L63" s="38">
        <f t="shared" si="4"/>
        <v>6283.3207440437118</v>
      </c>
      <c r="M63" s="34"/>
      <c r="N63" s="45">
        <f t="shared" si="5"/>
        <v>6283.3187182412412</v>
      </c>
    </row>
    <row r="64" spans="1:14" s="5" customFormat="1" ht="13.5" customHeight="1">
      <c r="A64" s="263">
        <v>44921</v>
      </c>
      <c r="B64" s="247" t="s">
        <v>475</v>
      </c>
      <c r="C64" s="274"/>
      <c r="D64" s="37">
        <v>15</v>
      </c>
      <c r="E64" s="33" t="s">
        <v>484</v>
      </c>
      <c r="F64" s="35" t="s">
        <v>485</v>
      </c>
      <c r="G64" s="103"/>
      <c r="H64" s="38"/>
      <c r="I64" s="275">
        <v>764</v>
      </c>
      <c r="J64" s="54">
        <f>I64/'통장내역(환율표)'!$D$66</f>
        <v>109.84891238571069</v>
      </c>
      <c r="K64" s="271">
        <f t="shared" si="3"/>
        <v>42936.238670473977</v>
      </c>
      <c r="L64" s="38">
        <f t="shared" si="4"/>
        <v>6173.4718316580011</v>
      </c>
      <c r="M64" s="34"/>
      <c r="N64" s="45">
        <f t="shared" si="5"/>
        <v>6173.4698058555305</v>
      </c>
    </row>
    <row r="65" spans="1:14" s="5" customFormat="1" ht="13.5" customHeight="1">
      <c r="A65" s="263">
        <v>44921</v>
      </c>
      <c r="B65" s="247" t="s">
        <v>459</v>
      </c>
      <c r="C65" s="274"/>
      <c r="D65" s="37">
        <v>15</v>
      </c>
      <c r="E65" s="33" t="s">
        <v>21</v>
      </c>
      <c r="F65" s="35"/>
      <c r="G65" s="103"/>
      <c r="H65" s="38"/>
      <c r="I65" s="275">
        <v>3.6</v>
      </c>
      <c r="J65" s="54">
        <f>I65/'통장내역(환율표)'!$D$66</f>
        <v>0.51761267616303464</v>
      </c>
      <c r="K65" s="271">
        <f t="shared" si="3"/>
        <v>42932.638670473978</v>
      </c>
      <c r="L65" s="38">
        <f t="shared" si="4"/>
        <v>6172.9542189818376</v>
      </c>
      <c r="M65" s="34"/>
      <c r="N65" s="45">
        <f t="shared" si="5"/>
        <v>6172.952193179367</v>
      </c>
    </row>
    <row r="66" spans="1:14" s="5" customFormat="1" ht="13.5" customHeight="1">
      <c r="A66" s="263">
        <v>44921</v>
      </c>
      <c r="B66" s="247" t="s">
        <v>476</v>
      </c>
      <c r="C66" s="274"/>
      <c r="D66" s="37">
        <v>16</v>
      </c>
      <c r="E66" s="33" t="s">
        <v>481</v>
      </c>
      <c r="F66" s="35"/>
      <c r="G66" s="103"/>
      <c r="H66" s="38"/>
      <c r="I66" s="275">
        <v>300</v>
      </c>
      <c r="J66" s="54">
        <f>I66/'통장내역(환율표)'!$D$66</f>
        <v>43.134389680252887</v>
      </c>
      <c r="K66" s="271">
        <f t="shared" si="3"/>
        <v>42632.638670473978</v>
      </c>
      <c r="L66" s="38">
        <f t="shared" si="4"/>
        <v>6129.8198293015848</v>
      </c>
      <c r="M66" s="34"/>
      <c r="N66" s="45">
        <f t="shared" si="5"/>
        <v>6129.8178034991142</v>
      </c>
    </row>
    <row r="67" spans="1:14" s="5" customFormat="1" ht="13.5" customHeight="1">
      <c r="A67" s="263">
        <v>44921</v>
      </c>
      <c r="B67" s="247" t="s">
        <v>459</v>
      </c>
      <c r="C67" s="274"/>
      <c r="D67" s="37">
        <v>16</v>
      </c>
      <c r="E67" s="33" t="s">
        <v>21</v>
      </c>
      <c r="F67" s="35"/>
      <c r="G67" s="103"/>
      <c r="H67" s="38"/>
      <c r="I67" s="278">
        <v>3.6</v>
      </c>
      <c r="J67" s="54">
        <f>I67/'통장내역(환율표)'!$D$66</f>
        <v>0.51761267616303464</v>
      </c>
      <c r="K67" s="271">
        <f t="shared" si="3"/>
        <v>42629.038670473979</v>
      </c>
      <c r="L67" s="38">
        <f t="shared" si="4"/>
        <v>6129.3022166254214</v>
      </c>
      <c r="M67" s="34"/>
      <c r="N67" s="45">
        <f t="shared" si="5"/>
        <v>6129.3001908229508</v>
      </c>
    </row>
    <row r="68" spans="1:14" s="5" customFormat="1" ht="13.5" customHeight="1">
      <c r="A68" s="263">
        <v>44921</v>
      </c>
      <c r="B68" s="247" t="s">
        <v>477</v>
      </c>
      <c r="C68" s="274"/>
      <c r="D68" s="37">
        <v>17</v>
      </c>
      <c r="E68" s="33" t="s">
        <v>488</v>
      </c>
      <c r="F68" s="35" t="s">
        <v>489</v>
      </c>
      <c r="G68" s="103"/>
      <c r="H68" s="38"/>
      <c r="I68" s="278">
        <v>500</v>
      </c>
      <c r="J68" s="54">
        <f>I68/'통장내역(환율표)'!$D$66</f>
        <v>71.890649467088153</v>
      </c>
      <c r="K68" s="271">
        <f t="shared" si="3"/>
        <v>42129.038670473979</v>
      </c>
      <c r="L68" s="38">
        <f t="shared" si="4"/>
        <v>6057.4115671583331</v>
      </c>
      <c r="M68" s="34"/>
      <c r="N68" s="45">
        <f t="shared" si="5"/>
        <v>6057.4095413558625</v>
      </c>
    </row>
    <row r="69" spans="1:14" s="5" customFormat="1" ht="13.5" customHeight="1">
      <c r="A69" s="263">
        <v>44921</v>
      </c>
      <c r="B69" s="247" t="s">
        <v>459</v>
      </c>
      <c r="C69" s="160"/>
      <c r="D69" s="37">
        <v>17</v>
      </c>
      <c r="E69" s="33" t="s">
        <v>21</v>
      </c>
      <c r="F69" s="35"/>
      <c r="G69" s="103"/>
      <c r="H69" s="38"/>
      <c r="I69" s="278">
        <v>3.6</v>
      </c>
      <c r="J69" s="54">
        <f>I69/'통장내역(환율표)'!$D$66</f>
        <v>0.51761267616303464</v>
      </c>
      <c r="K69" s="271">
        <f t="shared" si="3"/>
        <v>42125.438670473981</v>
      </c>
      <c r="L69" s="38">
        <f t="shared" si="4"/>
        <v>6056.8939544821696</v>
      </c>
      <c r="M69" s="34"/>
      <c r="N69" s="45">
        <f t="shared" si="5"/>
        <v>6056.891928679699</v>
      </c>
    </row>
    <row r="70" spans="1:14">
      <c r="I70" s="259"/>
    </row>
  </sheetData>
  <autoFilter ref="A16:N73" xr:uid="{00000000-0009-0000-0000-00000B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03"/>
  <sheetViews>
    <sheetView showGridLines="0" topLeftCell="A3" zoomScale="85" zoomScaleNormal="85" workbookViewId="0">
      <selection activeCell="H22" sqref="H22"/>
    </sheetView>
  </sheetViews>
  <sheetFormatPr defaultRowHeight="16.5"/>
  <cols>
    <col min="1" max="1" width="10.25" bestFit="1" customWidth="1"/>
    <col min="2" max="2" width="30.75" customWidth="1"/>
    <col min="3" max="3" width="11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9.625" bestFit="1" customWidth="1"/>
  </cols>
  <sheetData>
    <row r="1" spans="1:14" ht="24">
      <c r="A1" s="1" t="s">
        <v>522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25">
      <c r="A2" s="5" t="s">
        <v>535</v>
      </c>
      <c r="B2" s="2"/>
      <c r="C2" s="2"/>
      <c r="E2" s="4">
        <v>100000556</v>
      </c>
      <c r="F2" s="7"/>
      <c r="G2" s="5" t="s">
        <v>537</v>
      </c>
      <c r="H2" s="2"/>
      <c r="I2" s="2"/>
      <c r="K2" s="4">
        <v>100000561</v>
      </c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6480</v>
      </c>
      <c r="J5" s="116">
        <v>958.55469432257109</v>
      </c>
      <c r="K5" s="117">
        <v>1195120</v>
      </c>
      <c r="L5" s="348">
        <f>K5/I5</f>
        <v>184.4320987654321</v>
      </c>
    </row>
    <row r="6" spans="1:14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18400.170000000002</v>
      </c>
      <c r="J6" s="116">
        <v>2721.8471188014414</v>
      </c>
      <c r="K6" s="117">
        <v>3393603</v>
      </c>
      <c r="L6" s="248">
        <f>K6+E6</f>
        <v>3393603</v>
      </c>
    </row>
    <row r="7" spans="1:14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2875.6640829677131</v>
      </c>
      <c r="K7" s="117">
        <v>3585373</v>
      </c>
      <c r="L7" s="248">
        <f>K7+E7</f>
        <v>3585373</v>
      </c>
    </row>
    <row r="8" spans="1:14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1553.2136250597216</v>
      </c>
      <c r="K8" s="117">
        <v>1936542</v>
      </c>
      <c r="L8" s="248">
        <f>K8+E8</f>
        <v>1936542</v>
      </c>
    </row>
    <row r="9" spans="1:14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1290</v>
      </c>
      <c r="J9" s="116">
        <v>190.82338822162293</v>
      </c>
      <c r="K9" s="117">
        <v>237914</v>
      </c>
      <c r="L9" s="248">
        <f>K9+E9</f>
        <v>237914</v>
      </c>
    </row>
    <row r="10" spans="1:14" s="5" customFormat="1" ht="13.5">
      <c r="A10" s="114" t="s">
        <v>62</v>
      </c>
      <c r="B10" s="115"/>
      <c r="C10" s="116">
        <v>42125.728266320431</v>
      </c>
      <c r="D10" s="116">
        <v>6056.891928679699</v>
      </c>
      <c r="E10" s="117">
        <v>7913932</v>
      </c>
      <c r="F10" s="121">
        <v>51321010</v>
      </c>
      <c r="G10" s="114" t="s">
        <v>62</v>
      </c>
      <c r="H10" s="115"/>
      <c r="I10" s="116">
        <v>118246.87173367961</v>
      </c>
      <c r="J10" s="116">
        <v>17517.581171184804</v>
      </c>
      <c r="K10" s="117">
        <v>21840919</v>
      </c>
      <c r="L10" s="248">
        <f>K10+E10</f>
        <v>29754851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.5">
      <c r="A12" s="1493" t="s">
        <v>299</v>
      </c>
      <c r="B12" s="1494"/>
      <c r="C12" s="124">
        <f>SUM(C4:C11)</f>
        <v>42125.728266320431</v>
      </c>
      <c r="D12" s="124">
        <f>SUM(D4:D11)</f>
        <v>6056.891928679699</v>
      </c>
      <c r="E12" s="125">
        <f>SUM(E4:E11)</f>
        <v>7913932</v>
      </c>
      <c r="F12" s="121">
        <v>52981010</v>
      </c>
      <c r="G12" s="1493" t="s">
        <v>299</v>
      </c>
      <c r="H12" s="1494"/>
      <c r="I12" s="124">
        <f>SUM(I4:I11)</f>
        <v>174357.04173367959</v>
      </c>
      <c r="J12" s="124">
        <f>SUM(J4:J11)</f>
        <v>25817.684080557876</v>
      </c>
      <c r="K12" s="125">
        <f>SUM(K4:K10)</f>
        <v>32189471</v>
      </c>
      <c r="L12" s="119"/>
    </row>
    <row r="13" spans="1:14" s="5" customFormat="1" ht="13.5">
      <c r="A13" s="126"/>
      <c r="B13" s="127"/>
      <c r="C13" s="128">
        <f>C12+I12</f>
        <v>216482.77000000002</v>
      </c>
      <c r="D13" s="128">
        <f>D12+J12</f>
        <v>31874.576009237575</v>
      </c>
      <c r="E13" s="250">
        <f>E12+K12</f>
        <v>40103403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.5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SUBTOTAL(9,H17:H103)</f>
        <v>33835.839999999997</v>
      </c>
      <c r="I14" s="137">
        <f>SUBTOTAL(9,I17:I118)</f>
        <v>216482.77000000011</v>
      </c>
      <c r="J14" s="137">
        <f>SUBTOTAL(9,J17:J116)</f>
        <v>31874.565413709544</v>
      </c>
      <c r="K14" s="132"/>
      <c r="L14" s="45"/>
    </row>
    <row r="15" spans="1:14" s="5" customFormat="1" ht="13.5">
      <c r="A15" s="1511" t="s">
        <v>300</v>
      </c>
      <c r="B15" s="1511" t="s">
        <v>25</v>
      </c>
      <c r="C15" s="1511"/>
      <c r="D15" s="1511" t="s">
        <v>26</v>
      </c>
      <c r="E15" s="1511" t="s">
        <v>1</v>
      </c>
      <c r="F15" s="1511" t="s">
        <v>2</v>
      </c>
      <c r="G15" s="1509" t="s">
        <v>232</v>
      </c>
      <c r="H15" s="1509"/>
      <c r="I15" s="1509" t="s">
        <v>30</v>
      </c>
      <c r="J15" s="1509"/>
      <c r="K15" s="1510" t="s">
        <v>31</v>
      </c>
      <c r="L15" s="1510"/>
      <c r="M15" s="1511" t="s">
        <v>32</v>
      </c>
    </row>
    <row r="16" spans="1:14" s="5" customFormat="1" ht="14.25" customHeight="1">
      <c r="A16" s="1511"/>
      <c r="B16" s="1511"/>
      <c r="C16" s="1511"/>
      <c r="D16" s="1511"/>
      <c r="E16" s="1511"/>
      <c r="F16" s="1511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1"/>
    </row>
    <row r="17" spans="1:14" s="5" customFormat="1" ht="13.5" customHeight="1">
      <c r="A17" s="237">
        <v>45290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42125.438670473981</v>
      </c>
      <c r="L17" s="241">
        <v>6056.8939544821696</v>
      </c>
      <c r="M17" s="240"/>
      <c r="N17" s="45">
        <v>6056.891928679699</v>
      </c>
    </row>
    <row r="18" spans="1:14" s="5" customFormat="1" ht="13.5" customHeight="1">
      <c r="A18" s="36">
        <v>44937</v>
      </c>
      <c r="B18" s="247" t="s">
        <v>496</v>
      </c>
      <c r="C18" s="160"/>
      <c r="D18" s="37">
        <v>1</v>
      </c>
      <c r="E18" s="33" t="s">
        <v>525</v>
      </c>
      <c r="F18" s="35"/>
      <c r="G18" s="103"/>
      <c r="H18" s="38"/>
      <c r="I18" s="275">
        <v>17495.22</v>
      </c>
      <c r="J18" s="54">
        <f>I18/'통장내역(환율표)'!$D$66</f>
        <v>2515.4854567391799</v>
      </c>
      <c r="K18" s="271">
        <f t="shared" ref="K18:K32" si="0">K17+G18-I18</f>
        <v>24630.21867047398</v>
      </c>
      <c r="L18" s="38">
        <f t="shared" ref="L18:L32" si="1">L17+H18-J18</f>
        <v>3541.4084977429898</v>
      </c>
      <c r="M18" s="34"/>
      <c r="N18" s="45">
        <f>N17-J18+H18</f>
        <v>3541.4064719405192</v>
      </c>
    </row>
    <row r="19" spans="1:14" s="5" customFormat="1" ht="13.5" customHeight="1">
      <c r="A19" s="36">
        <v>44937</v>
      </c>
      <c r="B19" s="247" t="s">
        <v>497</v>
      </c>
      <c r="C19" s="160"/>
      <c r="D19" s="37">
        <v>2</v>
      </c>
      <c r="E19" s="33"/>
      <c r="F19" s="35"/>
      <c r="G19" s="103">
        <v>228561.2</v>
      </c>
      <c r="H19" s="38">
        <v>33835.839999999997</v>
      </c>
      <c r="I19" s="275"/>
      <c r="J19" s="54">
        <f>I19/'통장내역(환율표)'!$D$66</f>
        <v>0</v>
      </c>
      <c r="K19" s="271">
        <f t="shared" si="0"/>
        <v>253191.418670474</v>
      </c>
      <c r="L19" s="38">
        <f t="shared" si="1"/>
        <v>37377.248497742985</v>
      </c>
      <c r="M19" s="34"/>
      <c r="N19" s="45"/>
    </row>
    <row r="20" spans="1:14" s="5" customFormat="1" ht="13.5" customHeight="1">
      <c r="A20" s="36">
        <v>44937</v>
      </c>
      <c r="B20" s="159" t="s">
        <v>445</v>
      </c>
      <c r="C20" s="160"/>
      <c r="D20" s="37">
        <v>1</v>
      </c>
      <c r="E20" s="33" t="s">
        <v>107</v>
      </c>
      <c r="F20" s="35"/>
      <c r="G20" s="103"/>
      <c r="H20" s="38"/>
      <c r="I20" s="275"/>
      <c r="J20" s="285">
        <v>25.9</v>
      </c>
      <c r="K20" s="271">
        <f t="shared" si="0"/>
        <v>253191.418670474</v>
      </c>
      <c r="L20" s="38">
        <f t="shared" si="1"/>
        <v>37351.348497742983</v>
      </c>
      <c r="M20" s="34"/>
      <c r="N20" s="45"/>
    </row>
    <row r="21" spans="1:14" s="5" customFormat="1" ht="13.5" customHeight="1">
      <c r="A21" s="36">
        <v>44940</v>
      </c>
      <c r="B21" s="247" t="s">
        <v>498</v>
      </c>
      <c r="C21" s="160"/>
      <c r="D21" s="37">
        <v>3</v>
      </c>
      <c r="E21" s="33" t="s">
        <v>525</v>
      </c>
      <c r="F21" s="35"/>
      <c r="G21" s="103"/>
      <c r="H21" s="38"/>
      <c r="I21" s="275">
        <v>7606.18</v>
      </c>
      <c r="J21" s="54">
        <f>I21/'통장내역(환율표)'!$D$66</f>
        <v>1093.6264403271532</v>
      </c>
      <c r="K21" s="271">
        <f t="shared" si="0"/>
        <v>245585.23867047401</v>
      </c>
      <c r="L21" s="38">
        <f t="shared" si="1"/>
        <v>36257.722057415827</v>
      </c>
      <c r="M21" s="34" t="s">
        <v>493</v>
      </c>
      <c r="N21" s="45">
        <f>N18-J21+H21</f>
        <v>2447.7800316133662</v>
      </c>
    </row>
    <row r="22" spans="1:14" s="5" customFormat="1" ht="13.5" customHeight="1">
      <c r="A22" s="36">
        <v>44940</v>
      </c>
      <c r="B22" s="247" t="s">
        <v>499</v>
      </c>
      <c r="C22" s="160"/>
      <c r="D22" s="37">
        <v>3</v>
      </c>
      <c r="E22" s="33" t="s">
        <v>525</v>
      </c>
      <c r="F22" s="35"/>
      <c r="G22" s="103"/>
      <c r="H22" s="38"/>
      <c r="I22" s="275">
        <v>765.69</v>
      </c>
      <c r="J22" s="54">
        <f>I22/'통장내역(환율표)'!$D$66</f>
        <v>110.09190278090946</v>
      </c>
      <c r="K22" s="271">
        <f t="shared" si="0"/>
        <v>244819.548670474</v>
      </c>
      <c r="L22" s="38">
        <f t="shared" si="1"/>
        <v>36147.63015463492</v>
      </c>
      <c r="M22" s="34" t="s">
        <v>493</v>
      </c>
      <c r="N22" s="45">
        <f>N21-J22+H22</f>
        <v>2337.6881288324566</v>
      </c>
    </row>
    <row r="23" spans="1:14" s="5" customFormat="1" ht="13.5" customHeight="1">
      <c r="A23" s="36">
        <v>44940</v>
      </c>
      <c r="B23" s="247" t="s">
        <v>500</v>
      </c>
      <c r="C23" s="160"/>
      <c r="D23" s="37">
        <v>3</v>
      </c>
      <c r="E23" s="33" t="s">
        <v>525</v>
      </c>
      <c r="F23" s="35"/>
      <c r="G23" s="103"/>
      <c r="H23" s="38"/>
      <c r="I23" s="275">
        <v>13500</v>
      </c>
      <c r="J23" s="54">
        <f>I23/'통장내역(환율표)'!$D$66</f>
        <v>1941.04753561138</v>
      </c>
      <c r="K23" s="271">
        <f t="shared" si="0"/>
        <v>231319.548670474</v>
      </c>
      <c r="L23" s="38">
        <f t="shared" si="1"/>
        <v>34206.582619023538</v>
      </c>
      <c r="M23" s="34" t="s">
        <v>493</v>
      </c>
      <c r="N23" s="45">
        <f>N22-J23+H23</f>
        <v>396.64059322107664</v>
      </c>
    </row>
    <row r="24" spans="1:14" s="5" customFormat="1" ht="13.5" customHeight="1">
      <c r="A24" s="57">
        <v>44940</v>
      </c>
      <c r="B24" s="286" t="s">
        <v>523</v>
      </c>
      <c r="C24" s="182"/>
      <c r="D24" s="60">
        <v>3</v>
      </c>
      <c r="E24" s="59" t="s">
        <v>525</v>
      </c>
      <c r="F24" s="61"/>
      <c r="G24" s="183"/>
      <c r="H24" s="62"/>
      <c r="I24" s="287">
        <f>J24*'통장내역(환율표)'!$D$66</f>
        <v>2758.6382663204372</v>
      </c>
      <c r="J24" s="54">
        <v>396.64059322107664</v>
      </c>
      <c r="K24" s="270">
        <f t="shared" si="0"/>
        <v>228560.91040415358</v>
      </c>
      <c r="L24" s="62">
        <f t="shared" si="1"/>
        <v>33809.942025802462</v>
      </c>
      <c r="M24" s="58" t="s">
        <v>493</v>
      </c>
      <c r="N24" s="45">
        <f>N23-J24+H24</f>
        <v>0</v>
      </c>
    </row>
    <row r="25" spans="1:14" s="5" customFormat="1" ht="13.5" customHeight="1">
      <c r="A25" s="57">
        <v>44940</v>
      </c>
      <c r="B25" s="286" t="s">
        <v>524</v>
      </c>
      <c r="C25" s="182"/>
      <c r="D25" s="60">
        <v>3</v>
      </c>
      <c r="E25" s="59" t="s">
        <v>525</v>
      </c>
      <c r="F25" s="61"/>
      <c r="G25" s="183"/>
      <c r="H25" s="62"/>
      <c r="I25" s="287">
        <f>20000-I24</f>
        <v>17241.361733679561</v>
      </c>
      <c r="J25" s="285">
        <f>I25/'통장내역(환율표)'!$D$73</f>
        <v>2550.4302818413712</v>
      </c>
      <c r="K25" s="270">
        <f t="shared" si="0"/>
        <v>211319.548670474</v>
      </c>
      <c r="L25" s="62">
        <f t="shared" si="1"/>
        <v>31259.511743961091</v>
      </c>
      <c r="M25" s="58" t="s">
        <v>493</v>
      </c>
      <c r="N25" s="45">
        <f>33809.94-J25</f>
        <v>31259.509718158632</v>
      </c>
    </row>
    <row r="26" spans="1:14" s="5" customFormat="1" ht="13.5" customHeight="1">
      <c r="A26" s="36">
        <v>44940</v>
      </c>
      <c r="B26" s="247" t="s">
        <v>502</v>
      </c>
      <c r="C26" s="160"/>
      <c r="D26" s="37">
        <v>3</v>
      </c>
      <c r="E26" s="33" t="s">
        <v>525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211019.548670474</v>
      </c>
      <c r="L26" s="38">
        <f t="shared" si="1"/>
        <v>31215.134211816527</v>
      </c>
      <c r="M26" s="34" t="s">
        <v>493</v>
      </c>
      <c r="N26" s="45">
        <f t="shared" ref="N26:N70" si="2">N25-J26+H26</f>
        <v>31215.132186014067</v>
      </c>
    </row>
    <row r="27" spans="1:14" s="5" customFormat="1" ht="13.5" customHeight="1">
      <c r="A27" s="36">
        <v>44940</v>
      </c>
      <c r="B27" s="247" t="s">
        <v>498</v>
      </c>
      <c r="C27" s="160"/>
      <c r="D27" s="37">
        <v>3</v>
      </c>
      <c r="E27" s="33" t="s">
        <v>525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206788.36867047401</v>
      </c>
      <c r="L27" s="38">
        <f t="shared" si="1"/>
        <v>30589.236456951745</v>
      </c>
      <c r="M27" s="34" t="s">
        <v>211</v>
      </c>
      <c r="N27" s="45">
        <f t="shared" si="2"/>
        <v>30589.234431149285</v>
      </c>
    </row>
    <row r="28" spans="1:14" s="5" customFormat="1" ht="13.5" customHeight="1">
      <c r="A28" s="36">
        <v>44940</v>
      </c>
      <c r="B28" s="247" t="s">
        <v>499</v>
      </c>
      <c r="C28" s="160"/>
      <c r="D28" s="37">
        <v>3</v>
      </c>
      <c r="E28" s="33" t="s">
        <v>525</v>
      </c>
      <c r="F28" s="35"/>
      <c r="G28" s="103"/>
      <c r="H28" s="38"/>
      <c r="I28" s="275">
        <v>634.29</v>
      </c>
      <c r="J28" s="285">
        <f>I28/'통장내역(환율표)'!$D$73</f>
        <v>93.827416213250544</v>
      </c>
      <c r="K28" s="271">
        <f t="shared" si="0"/>
        <v>206154.078670474</v>
      </c>
      <c r="L28" s="38">
        <f t="shared" si="1"/>
        <v>30495.409040738494</v>
      </c>
      <c r="M28" s="34" t="s">
        <v>211</v>
      </c>
      <c r="N28" s="45">
        <f t="shared" si="2"/>
        <v>30495.407014936034</v>
      </c>
    </row>
    <row r="29" spans="1:14" s="5" customFormat="1" ht="13.5" customHeight="1">
      <c r="A29" s="36">
        <v>44940</v>
      </c>
      <c r="B29" s="247" t="s">
        <v>500</v>
      </c>
      <c r="C29" s="160"/>
      <c r="D29" s="37">
        <v>3</v>
      </c>
      <c r="E29" s="33" t="s">
        <v>525</v>
      </c>
      <c r="F29" s="35"/>
      <c r="G29" s="103"/>
      <c r="H29" s="38"/>
      <c r="I29" s="275">
        <v>13500</v>
      </c>
      <c r="J29" s="285">
        <f>I29/'통장내역(환율표)'!$D$73</f>
        <v>1996.9889465053561</v>
      </c>
      <c r="K29" s="271">
        <f t="shared" si="0"/>
        <v>192654.078670474</v>
      </c>
      <c r="L29" s="38">
        <f t="shared" si="1"/>
        <v>28498.420094233137</v>
      </c>
      <c r="M29" s="34" t="s">
        <v>211</v>
      </c>
      <c r="N29" s="45">
        <f t="shared" si="2"/>
        <v>28498.418068430678</v>
      </c>
    </row>
    <row r="30" spans="1:14" s="5" customFormat="1" ht="13.5" customHeight="1">
      <c r="A30" s="36">
        <v>44940</v>
      </c>
      <c r="B30" s="247" t="s">
        <v>501</v>
      </c>
      <c r="C30" s="160"/>
      <c r="D30" s="37">
        <v>3</v>
      </c>
      <c r="E30" s="33" t="s">
        <v>525</v>
      </c>
      <c r="F30" s="35"/>
      <c r="G30" s="103"/>
      <c r="H30" s="38"/>
      <c r="I30" s="275">
        <v>14000</v>
      </c>
      <c r="J30" s="285">
        <f>I30/'통장내역(환율표)'!$D$73</f>
        <v>2070.9515000796287</v>
      </c>
      <c r="K30" s="271">
        <f t="shared" si="0"/>
        <v>178654.078670474</v>
      </c>
      <c r="L30" s="38">
        <f t="shared" si="1"/>
        <v>26427.46859415351</v>
      </c>
      <c r="M30" s="34" t="s">
        <v>211</v>
      </c>
      <c r="N30" s="45">
        <f t="shared" si="2"/>
        <v>26427.46656835105</v>
      </c>
    </row>
    <row r="31" spans="1:14" s="5" customFormat="1" ht="13.5" customHeight="1">
      <c r="A31" s="36">
        <v>44940</v>
      </c>
      <c r="B31" s="247" t="s">
        <v>130</v>
      </c>
      <c r="C31" s="160"/>
      <c r="D31" s="37">
        <v>3</v>
      </c>
      <c r="E31" s="33" t="s">
        <v>525</v>
      </c>
      <c r="F31" s="35"/>
      <c r="G31" s="103"/>
      <c r="H31" s="38"/>
      <c r="I31" s="275">
        <v>300</v>
      </c>
      <c r="J31" s="285">
        <f>I31/'통장내역(환율표)'!$D$73</f>
        <v>44.377532144563475</v>
      </c>
      <c r="K31" s="271">
        <f t="shared" si="0"/>
        <v>178354.078670474</v>
      </c>
      <c r="L31" s="38">
        <f t="shared" si="1"/>
        <v>26383.091062008945</v>
      </c>
      <c r="M31" s="34" t="s">
        <v>211</v>
      </c>
      <c r="N31" s="45">
        <f t="shared" si="2"/>
        <v>26383.089036206486</v>
      </c>
    </row>
    <row r="32" spans="1:14" s="5" customFormat="1" ht="13.5" customHeight="1">
      <c r="A32" s="36">
        <v>44940</v>
      </c>
      <c r="B32" s="247" t="s">
        <v>878</v>
      </c>
      <c r="C32" s="160"/>
      <c r="D32" s="37">
        <v>3</v>
      </c>
      <c r="E32" s="33" t="s">
        <v>525</v>
      </c>
      <c r="F32" s="35"/>
      <c r="G32" s="103"/>
      <c r="H32" s="38"/>
      <c r="I32" s="275">
        <v>5043.1899999999996</v>
      </c>
      <c r="J32" s="285">
        <f>I32/'통장내역(환율표)'!$D$73</f>
        <v>746.01442112047016</v>
      </c>
      <c r="K32" s="271">
        <f t="shared" si="0"/>
        <v>173310.888670474</v>
      </c>
      <c r="L32" s="38">
        <f t="shared" si="1"/>
        <v>25637.076640888474</v>
      </c>
      <c r="M32" s="34" t="s">
        <v>453</v>
      </c>
      <c r="N32" s="45">
        <f t="shared" si="2"/>
        <v>25637.074615086014</v>
      </c>
    </row>
    <row r="33" spans="1:14" s="5" customFormat="1" ht="13.5" customHeight="1">
      <c r="A33" s="36">
        <v>44940</v>
      </c>
      <c r="B33" s="247" t="s">
        <v>879</v>
      </c>
      <c r="C33" s="160"/>
      <c r="D33" s="37">
        <v>3</v>
      </c>
      <c r="E33" s="33" t="s">
        <v>525</v>
      </c>
      <c r="F33" s="35"/>
      <c r="G33" s="103"/>
      <c r="H33" s="38"/>
      <c r="I33" s="275">
        <v>52700</v>
      </c>
      <c r="J33" s="285">
        <f>I33/'통장내역(환율표)'!$D$73</f>
        <v>7795.6531467283166</v>
      </c>
      <c r="K33" s="271">
        <f t="shared" ref="K33:K70" si="3">K32+G33-I33</f>
        <v>120610.888670474</v>
      </c>
      <c r="L33" s="38">
        <f t="shared" ref="L33:L70" si="4">L32+H33-J33</f>
        <v>17841.423494160157</v>
      </c>
      <c r="M33" s="34" t="s">
        <v>453</v>
      </c>
      <c r="N33" s="45" t="e">
        <f>#REF!-J33+H33</f>
        <v>#REF!</v>
      </c>
    </row>
    <row r="34" spans="1:14" s="5" customFormat="1" ht="13.5" customHeight="1">
      <c r="A34" s="36">
        <v>44940</v>
      </c>
      <c r="B34" s="247" t="s">
        <v>880</v>
      </c>
      <c r="C34" s="160"/>
      <c r="D34" s="37">
        <v>3</v>
      </c>
      <c r="E34" s="33" t="s">
        <v>525</v>
      </c>
      <c r="F34" s="35"/>
      <c r="G34" s="103"/>
      <c r="H34" s="38"/>
      <c r="I34" s="275">
        <v>300</v>
      </c>
      <c r="J34" s="285">
        <f>I34/'통장내역(환율표)'!$D$73</f>
        <v>44.377532144563475</v>
      </c>
      <c r="K34" s="271">
        <f t="shared" si="3"/>
        <v>120310.888670474</v>
      </c>
      <c r="L34" s="38">
        <f t="shared" si="4"/>
        <v>17797.045962015593</v>
      </c>
      <c r="M34" s="34" t="s">
        <v>453</v>
      </c>
      <c r="N34" s="45" t="e">
        <f t="shared" si="2"/>
        <v>#REF!</v>
      </c>
    </row>
    <row r="35" spans="1:14" s="5" customFormat="1" ht="13.5" customHeight="1">
      <c r="A35" s="36">
        <v>44940</v>
      </c>
      <c r="B35" s="247" t="s">
        <v>503</v>
      </c>
      <c r="C35" s="160"/>
      <c r="D35" s="37">
        <v>3</v>
      </c>
      <c r="E35" s="33" t="s">
        <v>525</v>
      </c>
      <c r="F35" s="35"/>
      <c r="G35" s="103"/>
      <c r="H35" s="38"/>
      <c r="I35" s="275">
        <v>12</v>
      </c>
      <c r="J35" s="285">
        <f>I35/'통장내역(환율표)'!$D$73</f>
        <v>1.7751012857825388</v>
      </c>
      <c r="K35" s="271">
        <f t="shared" si="3"/>
        <v>120298.888670474</v>
      </c>
      <c r="L35" s="38">
        <f t="shared" si="4"/>
        <v>17795.270860729808</v>
      </c>
      <c r="M35" s="34"/>
      <c r="N35" s="45" t="e">
        <f t="shared" si="2"/>
        <v>#REF!</v>
      </c>
    </row>
    <row r="36" spans="1:14" s="5" customFormat="1" ht="13.5" customHeight="1">
      <c r="A36" s="36">
        <v>44940</v>
      </c>
      <c r="B36" s="247" t="s">
        <v>504</v>
      </c>
      <c r="C36" s="160"/>
      <c r="D36" s="37">
        <v>4</v>
      </c>
      <c r="E36" s="33" t="s">
        <v>15</v>
      </c>
      <c r="F36" s="35" t="s">
        <v>483</v>
      </c>
      <c r="G36" s="103"/>
      <c r="H36" s="38"/>
      <c r="I36" s="275">
        <v>19440</v>
      </c>
      <c r="J36" s="285">
        <f>I36/'통장내역(환율표)'!$D$73</f>
        <v>2875.6640829677131</v>
      </c>
      <c r="K36" s="271">
        <f t="shared" si="3"/>
        <v>100858.888670474</v>
      </c>
      <c r="L36" s="38">
        <f t="shared" si="4"/>
        <v>14919.606777762096</v>
      </c>
      <c r="M36" s="34" t="s">
        <v>494</v>
      </c>
      <c r="N36" s="45" t="e">
        <f t="shared" si="2"/>
        <v>#REF!</v>
      </c>
    </row>
    <row r="37" spans="1:14" s="5" customFormat="1" ht="13.5" customHeight="1">
      <c r="A37" s="36">
        <v>44940</v>
      </c>
      <c r="B37" s="247" t="s">
        <v>503</v>
      </c>
      <c r="C37" s="160"/>
      <c r="D37" s="37">
        <v>4</v>
      </c>
      <c r="E37" s="33" t="s">
        <v>525</v>
      </c>
      <c r="F37" s="35"/>
      <c r="G37" s="103"/>
      <c r="H37" s="38"/>
      <c r="I37" s="275">
        <v>7.2</v>
      </c>
      <c r="J37" s="285">
        <f>I37/'통장내역(환율표)'!$D$73</f>
        <v>1.0650607714695233</v>
      </c>
      <c r="K37" s="271">
        <f t="shared" si="3"/>
        <v>100851.688670474</v>
      </c>
      <c r="L37" s="38">
        <f t="shared" si="4"/>
        <v>14918.541716990627</v>
      </c>
      <c r="M37" s="34"/>
      <c r="N37" s="45" t="e">
        <f t="shared" si="2"/>
        <v>#REF!</v>
      </c>
    </row>
    <row r="38" spans="1:14" s="5" customFormat="1" ht="13.5" customHeight="1">
      <c r="A38" s="36">
        <v>44940</v>
      </c>
      <c r="B38" s="247" t="s">
        <v>505</v>
      </c>
      <c r="C38" s="160"/>
      <c r="D38" s="37">
        <v>5</v>
      </c>
      <c r="E38" s="33" t="s">
        <v>15</v>
      </c>
      <c r="F38" s="35" t="s">
        <v>226</v>
      </c>
      <c r="G38" s="103"/>
      <c r="H38" s="38"/>
      <c r="I38" s="275">
        <v>10500</v>
      </c>
      <c r="J38" s="285">
        <f>I38/'통장내역(환율표)'!$D$73</f>
        <v>1553.2136250597216</v>
      </c>
      <c r="K38" s="271">
        <f t="shared" si="3"/>
        <v>90351.688670474003</v>
      </c>
      <c r="L38" s="38">
        <f t="shared" si="4"/>
        <v>13365.328091930905</v>
      </c>
      <c r="M38" s="34"/>
      <c r="N38" s="45" t="e">
        <f t="shared" si="2"/>
        <v>#REF!</v>
      </c>
    </row>
    <row r="39" spans="1:14" s="5" customFormat="1" ht="13.5" customHeight="1">
      <c r="A39" s="36">
        <v>44940</v>
      </c>
      <c r="B39" s="247" t="s">
        <v>506</v>
      </c>
      <c r="C39" s="160"/>
      <c r="D39" s="37">
        <v>5</v>
      </c>
      <c r="E39" s="33" t="s">
        <v>525</v>
      </c>
      <c r="F39" s="35"/>
      <c r="G39" s="103"/>
      <c r="H39" s="38"/>
      <c r="I39" s="275">
        <v>6000</v>
      </c>
      <c r="J39" s="285">
        <f>I39/'통장내역(환율표)'!$D$73</f>
        <v>887.55064289126949</v>
      </c>
      <c r="K39" s="271">
        <f t="shared" si="3"/>
        <v>84351.688670474003</v>
      </c>
      <c r="L39" s="38">
        <f t="shared" si="4"/>
        <v>12477.777449039637</v>
      </c>
      <c r="M39" s="34"/>
      <c r="N39" s="45" t="e">
        <f t="shared" si="2"/>
        <v>#REF!</v>
      </c>
    </row>
    <row r="40" spans="1:14" s="5" customFormat="1" ht="13.5" customHeight="1">
      <c r="A40" s="36">
        <v>44940</v>
      </c>
      <c r="B40" s="247" t="s">
        <v>503</v>
      </c>
      <c r="C40" s="160"/>
      <c r="D40" s="37">
        <v>5</v>
      </c>
      <c r="E40" s="33" t="s">
        <v>525</v>
      </c>
      <c r="F40" s="35"/>
      <c r="G40" s="103"/>
      <c r="H40" s="38"/>
      <c r="I40" s="275">
        <v>7.2</v>
      </c>
      <c r="J40" s="285">
        <f>I40/'통장내역(환율표)'!$D$73</f>
        <v>1.0650607714695233</v>
      </c>
      <c r="K40" s="271">
        <f t="shared" si="3"/>
        <v>84344.488670474006</v>
      </c>
      <c r="L40" s="38">
        <f t="shared" si="4"/>
        <v>12476.712388268168</v>
      </c>
      <c r="M40" s="34"/>
      <c r="N40" s="45" t="e">
        <f t="shared" si="2"/>
        <v>#REF!</v>
      </c>
    </row>
    <row r="41" spans="1:14" s="5" customFormat="1" ht="13.5" customHeight="1">
      <c r="A41" s="36">
        <v>44940</v>
      </c>
      <c r="B41" s="247" t="s">
        <v>507</v>
      </c>
      <c r="C41" s="160"/>
      <c r="D41" s="37">
        <v>6</v>
      </c>
      <c r="E41" s="33" t="s">
        <v>525</v>
      </c>
      <c r="F41" s="35"/>
      <c r="G41" s="103"/>
      <c r="H41" s="38"/>
      <c r="I41" s="275">
        <v>1000</v>
      </c>
      <c r="J41" s="285">
        <f>I41/'통장내역(환율표)'!$D$73</f>
        <v>147.9251071485449</v>
      </c>
      <c r="K41" s="271">
        <f t="shared" si="3"/>
        <v>83344.488670474006</v>
      </c>
      <c r="L41" s="38">
        <f t="shared" si="4"/>
        <v>12328.787281119623</v>
      </c>
      <c r="M41" s="34"/>
      <c r="N41" s="45" t="e">
        <f t="shared" si="2"/>
        <v>#REF!</v>
      </c>
    </row>
    <row r="42" spans="1:14" s="5" customFormat="1" ht="13.5" customHeight="1">
      <c r="A42" s="36">
        <v>44940</v>
      </c>
      <c r="B42" s="247" t="s">
        <v>503</v>
      </c>
      <c r="C42" s="160"/>
      <c r="D42" s="37">
        <v>6</v>
      </c>
      <c r="E42" s="33" t="s">
        <v>525</v>
      </c>
      <c r="F42" s="35"/>
      <c r="G42" s="103"/>
      <c r="H42" s="38"/>
      <c r="I42" s="275">
        <v>3.6</v>
      </c>
      <c r="J42" s="285">
        <f>I42/'통장내역(환율표)'!$D$73</f>
        <v>0.53253038573476164</v>
      </c>
      <c r="K42" s="271">
        <f t="shared" si="3"/>
        <v>83340.888670474</v>
      </c>
      <c r="L42" s="38">
        <f t="shared" si="4"/>
        <v>12328.254750733888</v>
      </c>
      <c r="M42" s="34"/>
      <c r="N42" s="45" t="e">
        <f t="shared" si="2"/>
        <v>#REF!</v>
      </c>
    </row>
    <row r="43" spans="1:14" s="5" customFormat="1" ht="13.5" customHeight="1">
      <c r="A43" s="36">
        <v>44940</v>
      </c>
      <c r="B43" s="247" t="s">
        <v>508</v>
      </c>
      <c r="C43" s="160"/>
      <c r="D43" s="37">
        <v>7</v>
      </c>
      <c r="E43" s="33" t="s">
        <v>525</v>
      </c>
      <c r="F43" s="35"/>
      <c r="G43" s="103"/>
      <c r="H43" s="38"/>
      <c r="I43" s="275">
        <v>680.17</v>
      </c>
      <c r="J43" s="285">
        <v>100.61</v>
      </c>
      <c r="K43" s="271">
        <f t="shared" si="3"/>
        <v>82660.718670474002</v>
      </c>
      <c r="L43" s="38">
        <f t="shared" si="4"/>
        <v>12227.644750733887</v>
      </c>
      <c r="M43" s="34"/>
      <c r="N43" s="45" t="e">
        <f t="shared" si="2"/>
        <v>#REF!</v>
      </c>
    </row>
    <row r="44" spans="1:14" s="5" customFormat="1" ht="13.5" customHeight="1">
      <c r="A44" s="36">
        <v>44940</v>
      </c>
      <c r="B44" s="247" t="s">
        <v>503</v>
      </c>
      <c r="C44" s="160"/>
      <c r="D44" s="37">
        <v>7</v>
      </c>
      <c r="E44" s="33" t="s">
        <v>525</v>
      </c>
      <c r="F44" s="35"/>
      <c r="G44" s="103"/>
      <c r="H44" s="38"/>
      <c r="I44" s="275">
        <v>3.6</v>
      </c>
      <c r="J44" s="285">
        <f>I44/'통장내역(환율표)'!$D$73</f>
        <v>0.53253038573476164</v>
      </c>
      <c r="K44" s="271">
        <f t="shared" si="3"/>
        <v>82657.118670473996</v>
      </c>
      <c r="L44" s="38">
        <f t="shared" si="4"/>
        <v>12227.112220348152</v>
      </c>
      <c r="M44" s="34"/>
      <c r="N44" s="45" t="e">
        <f t="shared" si="2"/>
        <v>#REF!</v>
      </c>
    </row>
    <row r="45" spans="1:14" s="5" customFormat="1" ht="13.5" customHeight="1">
      <c r="A45" s="36">
        <v>44946</v>
      </c>
      <c r="B45" s="247" t="s">
        <v>509</v>
      </c>
      <c r="C45" s="160"/>
      <c r="D45" s="37">
        <v>8</v>
      </c>
      <c r="E45" s="33" t="s">
        <v>526</v>
      </c>
      <c r="F45" s="35" t="s">
        <v>527</v>
      </c>
      <c r="G45" s="103"/>
      <c r="H45" s="38"/>
      <c r="I45" s="275">
        <v>900</v>
      </c>
      <c r="J45" s="285">
        <f>I45/'통장내역(환율표)'!$D$73</f>
        <v>133.13259643369042</v>
      </c>
      <c r="K45" s="271">
        <f t="shared" si="3"/>
        <v>81757.118670473996</v>
      </c>
      <c r="L45" s="38">
        <f t="shared" si="4"/>
        <v>12093.979623914462</v>
      </c>
      <c r="M45" s="34"/>
      <c r="N45" s="45" t="e">
        <f t="shared" si="2"/>
        <v>#REF!</v>
      </c>
    </row>
    <row r="46" spans="1:14" s="5" customFormat="1" ht="13.5" customHeight="1">
      <c r="A46" s="36">
        <v>44946</v>
      </c>
      <c r="B46" s="247" t="s">
        <v>510</v>
      </c>
      <c r="C46" s="160"/>
      <c r="D46" s="37">
        <v>8</v>
      </c>
      <c r="E46" s="33" t="s">
        <v>526</v>
      </c>
      <c r="F46" s="35" t="s">
        <v>527</v>
      </c>
      <c r="G46" s="103"/>
      <c r="H46" s="38"/>
      <c r="I46" s="275">
        <v>1642.5</v>
      </c>
      <c r="J46" s="285">
        <v>242.965</v>
      </c>
      <c r="K46" s="271">
        <f t="shared" si="3"/>
        <v>80114.618670473996</v>
      </c>
      <c r="L46" s="38">
        <f t="shared" si="4"/>
        <v>11851.014623914461</v>
      </c>
      <c r="M46" s="34"/>
      <c r="N46" s="45" t="e">
        <f t="shared" si="2"/>
        <v>#REF!</v>
      </c>
    </row>
    <row r="47" spans="1:14" s="5" customFormat="1" ht="13.5" customHeight="1">
      <c r="A47" s="36">
        <v>44946</v>
      </c>
      <c r="B47" s="247" t="s">
        <v>511</v>
      </c>
      <c r="C47" s="160"/>
      <c r="D47" s="37">
        <v>8</v>
      </c>
      <c r="E47" s="33" t="s">
        <v>526</v>
      </c>
      <c r="F47" s="35" t="s">
        <v>527</v>
      </c>
      <c r="G47" s="103"/>
      <c r="H47" s="38"/>
      <c r="I47" s="275">
        <v>210</v>
      </c>
      <c r="J47" s="285">
        <f>I47/'통장내역(환율표)'!$D$73</f>
        <v>31.064272501194431</v>
      </c>
      <c r="K47" s="271">
        <f t="shared" si="3"/>
        <v>79904.618670473996</v>
      </c>
      <c r="L47" s="38">
        <f t="shared" si="4"/>
        <v>11819.950351413267</v>
      </c>
      <c r="M47" s="34"/>
      <c r="N47" s="45" t="e">
        <f t="shared" si="2"/>
        <v>#REF!</v>
      </c>
    </row>
    <row r="48" spans="1:14" s="5" customFormat="1" ht="13.5" customHeight="1">
      <c r="A48" s="36">
        <v>44946</v>
      </c>
      <c r="B48" s="247" t="s">
        <v>503</v>
      </c>
      <c r="C48" s="160"/>
      <c r="D48" s="37">
        <v>8</v>
      </c>
      <c r="E48" s="33" t="s">
        <v>525</v>
      </c>
      <c r="F48" s="35"/>
      <c r="G48" s="103"/>
      <c r="H48" s="38"/>
      <c r="I48" s="275">
        <v>3.6</v>
      </c>
      <c r="J48" s="285">
        <f>I48/'통장내역(환율표)'!$D$73</f>
        <v>0.53253038573476164</v>
      </c>
      <c r="K48" s="271">
        <f t="shared" si="3"/>
        <v>79901.01867047399</v>
      </c>
      <c r="L48" s="38">
        <f t="shared" si="4"/>
        <v>11819.417821027531</v>
      </c>
      <c r="M48" s="34"/>
      <c r="N48" s="45" t="e">
        <f t="shared" si="2"/>
        <v>#REF!</v>
      </c>
    </row>
    <row r="49" spans="1:14" s="5" customFormat="1" ht="12.75" customHeight="1">
      <c r="A49" s="36">
        <v>44946</v>
      </c>
      <c r="B49" s="247" t="s">
        <v>532</v>
      </c>
      <c r="C49" s="160"/>
      <c r="D49" s="37">
        <v>9</v>
      </c>
      <c r="E49" s="33" t="s">
        <v>526</v>
      </c>
      <c r="F49" s="35" t="s">
        <v>527</v>
      </c>
      <c r="G49" s="103"/>
      <c r="H49" s="38"/>
      <c r="I49" s="275">
        <v>2025.1</v>
      </c>
      <c r="J49" s="285">
        <f>I49/'통장내역(환율표)'!$D$73</f>
        <v>299.56313448651827</v>
      </c>
      <c r="K49" s="271">
        <f t="shared" si="3"/>
        <v>77875.918670473984</v>
      </c>
      <c r="L49" s="38">
        <f t="shared" si="4"/>
        <v>11519.854686541014</v>
      </c>
      <c r="M49" s="34"/>
      <c r="N49" s="45" t="e">
        <f t="shared" si="2"/>
        <v>#REF!</v>
      </c>
    </row>
    <row r="50" spans="1:14" s="5" customFormat="1" ht="12.75" customHeight="1">
      <c r="A50" s="36">
        <v>44946</v>
      </c>
      <c r="B50" s="247" t="s">
        <v>512</v>
      </c>
      <c r="C50" s="160"/>
      <c r="D50" s="37">
        <v>9</v>
      </c>
      <c r="E50" s="33" t="s">
        <v>525</v>
      </c>
      <c r="F50" s="35"/>
      <c r="G50" s="103"/>
      <c r="H50" s="38"/>
      <c r="I50" s="275">
        <v>1398.11</v>
      </c>
      <c r="J50" s="285">
        <f>I50/'통장내역(환율표)'!$D$73</f>
        <v>206.8155715554521</v>
      </c>
      <c r="K50" s="271">
        <f t="shared" si="3"/>
        <v>76477.808670473984</v>
      </c>
      <c r="L50" s="38">
        <f t="shared" si="4"/>
        <v>11313.039114985562</v>
      </c>
      <c r="M50" s="34"/>
      <c r="N50" s="45" t="e">
        <f t="shared" si="2"/>
        <v>#REF!</v>
      </c>
    </row>
    <row r="51" spans="1:14" s="5" customFormat="1" ht="12.75" customHeight="1">
      <c r="A51" s="36">
        <v>44946</v>
      </c>
      <c r="B51" s="247" t="s">
        <v>513</v>
      </c>
      <c r="C51" s="160"/>
      <c r="D51" s="37">
        <v>9</v>
      </c>
      <c r="E51" s="33" t="s">
        <v>528</v>
      </c>
      <c r="F51" s="35" t="s">
        <v>529</v>
      </c>
      <c r="G51" s="103"/>
      <c r="H51" s="38"/>
      <c r="I51" s="275">
        <v>197</v>
      </c>
      <c r="J51" s="285">
        <f>I51/'통장내역(환율표)'!$D$73</f>
        <v>29.141246108263346</v>
      </c>
      <c r="K51" s="271">
        <f t="shared" si="3"/>
        <v>76280.808670473984</v>
      </c>
      <c r="L51" s="38">
        <f t="shared" si="4"/>
        <v>11283.897868877299</v>
      </c>
      <c r="M51" s="34"/>
      <c r="N51" s="45" t="e">
        <f t="shared" si="2"/>
        <v>#REF!</v>
      </c>
    </row>
    <row r="52" spans="1:14" s="5" customFormat="1" ht="12.75" customHeight="1">
      <c r="A52" s="36">
        <v>44946</v>
      </c>
      <c r="B52" s="247" t="s">
        <v>514</v>
      </c>
      <c r="C52" s="160"/>
      <c r="D52" s="37">
        <v>9</v>
      </c>
      <c r="E52" s="33" t="s">
        <v>530</v>
      </c>
      <c r="F52" s="35" t="s">
        <v>531</v>
      </c>
      <c r="G52" s="103"/>
      <c r="H52" s="38"/>
      <c r="I52" s="275">
        <v>234</v>
      </c>
      <c r="J52" s="285">
        <f>I52/'통장내역(환율표)'!$D$73</f>
        <v>34.614475072759511</v>
      </c>
      <c r="K52" s="271">
        <f t="shared" si="3"/>
        <v>76046.808670473984</v>
      </c>
      <c r="L52" s="38">
        <f t="shared" si="4"/>
        <v>11249.283393804539</v>
      </c>
      <c r="M52" s="34"/>
      <c r="N52" s="45" t="e">
        <f t="shared" si="2"/>
        <v>#REF!</v>
      </c>
    </row>
    <row r="53" spans="1:14" s="5" customFormat="1" ht="12.75" customHeight="1">
      <c r="A53" s="263">
        <v>44946</v>
      </c>
      <c r="B53" s="247" t="s">
        <v>503</v>
      </c>
      <c r="C53" s="160"/>
      <c r="D53" s="37">
        <v>9</v>
      </c>
      <c r="E53" s="33" t="s">
        <v>525</v>
      </c>
      <c r="F53" s="35"/>
      <c r="G53" s="103"/>
      <c r="H53" s="38"/>
      <c r="I53" s="275">
        <v>3.6</v>
      </c>
      <c r="J53" s="285">
        <f>I53/'통장내역(환율표)'!$D$73</f>
        <v>0.53253038573476164</v>
      </c>
      <c r="K53" s="271">
        <f t="shared" si="3"/>
        <v>76043.208670473978</v>
      </c>
      <c r="L53" s="38">
        <f t="shared" si="4"/>
        <v>11248.750863418803</v>
      </c>
      <c r="M53" s="34"/>
      <c r="N53" s="45" t="e">
        <f t="shared" si="2"/>
        <v>#REF!</v>
      </c>
    </row>
    <row r="54" spans="1:14" s="5" customFormat="1" ht="13.5" customHeight="1">
      <c r="A54" s="263">
        <v>44946</v>
      </c>
      <c r="B54" s="247" t="s">
        <v>515</v>
      </c>
      <c r="C54" s="160"/>
      <c r="D54" s="37">
        <v>10</v>
      </c>
      <c r="E54" s="33" t="s">
        <v>526</v>
      </c>
      <c r="F54" s="35" t="s">
        <v>527</v>
      </c>
      <c r="G54" s="103"/>
      <c r="H54" s="38"/>
      <c r="I54" s="275">
        <v>5768</v>
      </c>
      <c r="J54" s="285">
        <f>I54/'통장내역(환율표)'!$D$73</f>
        <v>853.23201803280699</v>
      </c>
      <c r="K54" s="271">
        <f t="shared" si="3"/>
        <v>70275.208670473978</v>
      </c>
      <c r="L54" s="38">
        <f t="shared" si="4"/>
        <v>10395.518845385996</v>
      </c>
      <c r="M54" s="34" t="s">
        <v>495</v>
      </c>
      <c r="N54" s="45" t="e">
        <f t="shared" si="2"/>
        <v>#REF!</v>
      </c>
    </row>
    <row r="55" spans="1:14" s="5" customFormat="1" ht="13.5" customHeight="1">
      <c r="A55" s="263">
        <v>44946</v>
      </c>
      <c r="B55" s="247" t="s">
        <v>503</v>
      </c>
      <c r="C55" s="160"/>
      <c r="D55" s="37">
        <v>10</v>
      </c>
      <c r="E55" s="33" t="s">
        <v>525</v>
      </c>
      <c r="F55" s="35"/>
      <c r="G55" s="103"/>
      <c r="H55" s="38"/>
      <c r="I55" s="275">
        <v>3.6</v>
      </c>
      <c r="J55" s="285">
        <f>I55/'통장내역(환율표)'!$D$73</f>
        <v>0.53253038573476164</v>
      </c>
      <c r="K55" s="271">
        <f t="shared" si="3"/>
        <v>70271.608670473972</v>
      </c>
      <c r="L55" s="38">
        <f t="shared" si="4"/>
        <v>10394.98631500026</v>
      </c>
      <c r="M55" s="34"/>
      <c r="N55" s="45" t="e">
        <f t="shared" si="2"/>
        <v>#REF!</v>
      </c>
    </row>
    <row r="56" spans="1:14" s="5" customFormat="1" ht="13.5" customHeight="1">
      <c r="A56" s="263">
        <v>44946</v>
      </c>
      <c r="B56" s="247" t="s">
        <v>516</v>
      </c>
      <c r="C56" s="160"/>
      <c r="D56" s="37">
        <v>11</v>
      </c>
      <c r="E56" s="33" t="s">
        <v>530</v>
      </c>
      <c r="F56" s="35" t="s">
        <v>531</v>
      </c>
      <c r="G56" s="103"/>
      <c r="H56" s="38"/>
      <c r="I56" s="275">
        <v>3794</v>
      </c>
      <c r="J56" s="285">
        <v>561.22500000000002</v>
      </c>
      <c r="K56" s="271">
        <f t="shared" si="3"/>
        <v>66477.608670473972</v>
      </c>
      <c r="L56" s="38">
        <f t="shared" si="4"/>
        <v>9833.7613150002599</v>
      </c>
      <c r="M56" s="34"/>
      <c r="N56" s="45" t="e">
        <f t="shared" si="2"/>
        <v>#REF!</v>
      </c>
    </row>
    <row r="57" spans="1:14" s="5" customFormat="1" ht="13.5" customHeight="1">
      <c r="A57" s="263">
        <v>44946</v>
      </c>
      <c r="B57" s="247" t="s">
        <v>503</v>
      </c>
      <c r="C57" s="160"/>
      <c r="D57" s="37">
        <v>11</v>
      </c>
      <c r="E57" s="33" t="s">
        <v>525</v>
      </c>
      <c r="F57" s="35"/>
      <c r="G57" s="103"/>
      <c r="H57" s="38"/>
      <c r="I57" s="275">
        <v>3.6</v>
      </c>
      <c r="J57" s="285">
        <f>I57/'통장내역(환율표)'!$D$73</f>
        <v>0.53253038573476164</v>
      </c>
      <c r="K57" s="271">
        <f t="shared" si="3"/>
        <v>66474.008670473966</v>
      </c>
      <c r="L57" s="38">
        <f t="shared" si="4"/>
        <v>9833.2287846145246</v>
      </c>
      <c r="M57" s="34"/>
      <c r="N57" s="45" t="e">
        <f t="shared" si="2"/>
        <v>#REF!</v>
      </c>
    </row>
    <row r="58" spans="1:14" s="5" customFormat="1" ht="13.5" customHeight="1">
      <c r="A58" s="263">
        <v>44946</v>
      </c>
      <c r="B58" s="247" t="s">
        <v>534</v>
      </c>
      <c r="C58" s="160"/>
      <c r="D58" s="37">
        <v>12</v>
      </c>
      <c r="E58" s="33" t="s">
        <v>528</v>
      </c>
      <c r="F58" s="35" t="s">
        <v>529</v>
      </c>
      <c r="G58" s="103"/>
      <c r="H58" s="38"/>
      <c r="I58" s="275">
        <v>200</v>
      </c>
      <c r="J58" s="285">
        <f>I58/'통장내역(환율표)'!$D$73</f>
        <v>29.585021429708981</v>
      </c>
      <c r="K58" s="271">
        <f t="shared" si="3"/>
        <v>66274.008670473966</v>
      </c>
      <c r="L58" s="38">
        <f t="shared" si="4"/>
        <v>9803.6437631848148</v>
      </c>
      <c r="M58" s="34"/>
      <c r="N58" s="45" t="e">
        <f t="shared" si="2"/>
        <v>#REF!</v>
      </c>
    </row>
    <row r="59" spans="1:14" s="5" customFormat="1" ht="13.5" customHeight="1">
      <c r="A59" s="263">
        <v>44946</v>
      </c>
      <c r="B59" s="247" t="s">
        <v>503</v>
      </c>
      <c r="C59" s="160"/>
      <c r="D59" s="37">
        <v>12</v>
      </c>
      <c r="E59" s="33" t="s">
        <v>525</v>
      </c>
      <c r="F59" s="35"/>
      <c r="G59" s="103"/>
      <c r="H59" s="38"/>
      <c r="I59" s="275">
        <v>3.6</v>
      </c>
      <c r="J59" s="285">
        <f>I59/'통장내역(환율표)'!$D$73</f>
        <v>0.53253038573476164</v>
      </c>
      <c r="K59" s="271">
        <f t="shared" si="3"/>
        <v>66270.40867047396</v>
      </c>
      <c r="L59" s="38">
        <f t="shared" si="4"/>
        <v>9803.1112327990795</v>
      </c>
      <c r="M59" s="34"/>
      <c r="N59" s="45" t="e">
        <f t="shared" si="2"/>
        <v>#REF!</v>
      </c>
    </row>
    <row r="60" spans="1:14" s="5" customFormat="1" ht="13.5" customHeight="1">
      <c r="A60" s="263">
        <v>44946</v>
      </c>
      <c r="B60" s="247" t="s">
        <v>517</v>
      </c>
      <c r="C60" s="160"/>
      <c r="D60" s="37">
        <v>13</v>
      </c>
      <c r="E60" s="33" t="s">
        <v>526</v>
      </c>
      <c r="F60" s="35" t="s">
        <v>527</v>
      </c>
      <c r="G60" s="103"/>
      <c r="H60" s="38"/>
      <c r="I60" s="275">
        <v>6851.87</v>
      </c>
      <c r="J60" s="285">
        <f>I60/'통장내역(환율표)'!$D$73</f>
        <v>1013.5636039179004</v>
      </c>
      <c r="K60" s="271">
        <f t="shared" si="3"/>
        <v>59418.538670473958</v>
      </c>
      <c r="L60" s="38">
        <f t="shared" si="4"/>
        <v>8789.5476288811788</v>
      </c>
      <c r="M60" s="34" t="s">
        <v>536</v>
      </c>
      <c r="N60" s="45" t="e">
        <f t="shared" si="2"/>
        <v>#REF!</v>
      </c>
    </row>
    <row r="61" spans="1:14" s="5" customFormat="1" ht="13.5" customHeight="1">
      <c r="A61" s="263">
        <v>44946</v>
      </c>
      <c r="B61" s="247" t="s">
        <v>503</v>
      </c>
      <c r="C61" s="160"/>
      <c r="D61" s="37">
        <v>13</v>
      </c>
      <c r="E61" s="33" t="s">
        <v>525</v>
      </c>
      <c r="F61" s="35"/>
      <c r="G61" s="103"/>
      <c r="H61" s="38"/>
      <c r="I61" s="275">
        <v>3.6</v>
      </c>
      <c r="J61" s="285">
        <f>I61/'통장내역(환율표)'!$D$73</f>
        <v>0.53253038573476164</v>
      </c>
      <c r="K61" s="271">
        <f t="shared" si="3"/>
        <v>59414.938670473959</v>
      </c>
      <c r="L61" s="38">
        <f t="shared" si="4"/>
        <v>8789.0150984954435</v>
      </c>
      <c r="M61" s="34"/>
      <c r="N61" s="45" t="e">
        <f t="shared" si="2"/>
        <v>#REF!</v>
      </c>
    </row>
    <row r="62" spans="1:14" s="5" customFormat="1" ht="13.5" customHeight="1">
      <c r="A62" s="263">
        <v>44946</v>
      </c>
      <c r="B62" s="247" t="s">
        <v>533</v>
      </c>
      <c r="C62" s="160"/>
      <c r="D62" s="37">
        <v>14</v>
      </c>
      <c r="E62" s="33" t="s">
        <v>116</v>
      </c>
      <c r="F62" s="35" t="s">
        <v>140</v>
      </c>
      <c r="G62" s="103"/>
      <c r="H62" s="38"/>
      <c r="I62" s="275">
        <v>499</v>
      </c>
      <c r="J62" s="285">
        <f>I62/'통장내역(환율표)'!$D$73</f>
        <v>73.81462846712391</v>
      </c>
      <c r="K62" s="271">
        <f t="shared" si="3"/>
        <v>58915.938670473959</v>
      </c>
      <c r="L62" s="38">
        <f t="shared" si="4"/>
        <v>8715.2004700283196</v>
      </c>
      <c r="M62" s="34"/>
      <c r="N62" s="45" t="e">
        <f t="shared" si="2"/>
        <v>#REF!</v>
      </c>
    </row>
    <row r="63" spans="1:14" s="5" customFormat="1" ht="13.5" customHeight="1">
      <c r="A63" s="263">
        <v>44946</v>
      </c>
      <c r="B63" s="247" t="s">
        <v>518</v>
      </c>
      <c r="C63" s="160"/>
      <c r="D63" s="37">
        <v>14</v>
      </c>
      <c r="E63" s="33" t="s">
        <v>116</v>
      </c>
      <c r="F63" s="35" t="s">
        <v>140</v>
      </c>
      <c r="G63" s="103"/>
      <c r="H63" s="38"/>
      <c r="I63" s="275">
        <v>394</v>
      </c>
      <c r="J63" s="285">
        <f>I63/'통장내역(환율표)'!$D$73</f>
        <v>58.282492216526691</v>
      </c>
      <c r="K63" s="271">
        <f t="shared" si="3"/>
        <v>58521.938670473959</v>
      </c>
      <c r="L63" s="38">
        <f t="shared" si="4"/>
        <v>8656.9179778117923</v>
      </c>
      <c r="M63" s="34"/>
      <c r="N63" s="45" t="e">
        <f t="shared" si="2"/>
        <v>#REF!</v>
      </c>
    </row>
    <row r="64" spans="1:14" s="5" customFormat="1" ht="13.5" customHeight="1">
      <c r="A64" s="263">
        <v>44946</v>
      </c>
      <c r="B64" s="247" t="s">
        <v>503</v>
      </c>
      <c r="C64" s="160"/>
      <c r="D64" s="37">
        <v>14</v>
      </c>
      <c r="E64" s="33" t="s">
        <v>525</v>
      </c>
      <c r="F64" s="35"/>
      <c r="G64" s="103"/>
      <c r="H64" s="38"/>
      <c r="I64" s="275">
        <v>3.6</v>
      </c>
      <c r="J64" s="285">
        <f>I64/'통장내역(환율표)'!$D$73</f>
        <v>0.53253038573476164</v>
      </c>
      <c r="K64" s="271">
        <f t="shared" si="3"/>
        <v>58518.338670473961</v>
      </c>
      <c r="L64" s="38">
        <f t="shared" si="4"/>
        <v>8656.385447426057</v>
      </c>
      <c r="M64" s="34"/>
      <c r="N64" s="45" t="e">
        <f t="shared" si="2"/>
        <v>#REF!</v>
      </c>
    </row>
    <row r="65" spans="1:15" s="5" customFormat="1" ht="13.5" customHeight="1">
      <c r="A65" s="263">
        <v>44946</v>
      </c>
      <c r="B65" s="247" t="s">
        <v>519</v>
      </c>
      <c r="C65" s="160"/>
      <c r="D65" s="37">
        <v>15</v>
      </c>
      <c r="E65" s="33" t="s">
        <v>526</v>
      </c>
      <c r="F65" s="35" t="s">
        <v>527</v>
      </c>
      <c r="G65" s="103"/>
      <c r="H65" s="38"/>
      <c r="I65" s="275">
        <v>1002.7</v>
      </c>
      <c r="J65" s="285">
        <f>I65/'통장내역(환율표)'!$D$73</f>
        <v>148.32450493784597</v>
      </c>
      <c r="K65" s="271">
        <f t="shared" si="3"/>
        <v>57515.638670473963</v>
      </c>
      <c r="L65" s="38">
        <f t="shared" si="4"/>
        <v>8508.0609424882114</v>
      </c>
      <c r="M65" s="34"/>
      <c r="N65" s="45" t="e">
        <f t="shared" si="2"/>
        <v>#REF!</v>
      </c>
    </row>
    <row r="66" spans="1:15" s="5" customFormat="1" ht="13.5" customHeight="1">
      <c r="A66" s="263">
        <v>44946</v>
      </c>
      <c r="B66" s="247" t="s">
        <v>503</v>
      </c>
      <c r="C66" s="160"/>
      <c r="D66" s="37">
        <v>15</v>
      </c>
      <c r="E66" s="33" t="s">
        <v>525</v>
      </c>
      <c r="F66" s="35"/>
      <c r="G66" s="103"/>
      <c r="H66" s="38"/>
      <c r="I66" s="275">
        <v>3.6</v>
      </c>
      <c r="J66" s="285">
        <f>I66/'통장내역(환율표)'!$D$73</f>
        <v>0.53253038573476164</v>
      </c>
      <c r="K66" s="271">
        <f t="shared" si="3"/>
        <v>57512.038670473965</v>
      </c>
      <c r="L66" s="38">
        <f t="shared" si="4"/>
        <v>8507.5284121024761</v>
      </c>
      <c r="M66" s="34"/>
      <c r="N66" s="45" t="e">
        <f t="shared" si="2"/>
        <v>#REF!</v>
      </c>
    </row>
    <row r="67" spans="1:15" s="5" customFormat="1" ht="13.5" customHeight="1">
      <c r="A67" s="263">
        <v>44946</v>
      </c>
      <c r="B67" s="247" t="s">
        <v>520</v>
      </c>
      <c r="C67" s="160"/>
      <c r="D67" s="37">
        <v>16</v>
      </c>
      <c r="E67" s="33" t="s">
        <v>530</v>
      </c>
      <c r="F67" s="35" t="s">
        <v>531</v>
      </c>
      <c r="G67" s="103"/>
      <c r="H67" s="38"/>
      <c r="I67" s="275">
        <v>2452</v>
      </c>
      <c r="J67" s="285">
        <f>I67/'통장내역(환율표)'!$D$73</f>
        <v>362.71236272823211</v>
      </c>
      <c r="K67" s="271">
        <f t="shared" si="3"/>
        <v>55060.038670473965</v>
      </c>
      <c r="L67" s="38">
        <f t="shared" si="4"/>
        <v>8144.8160493742444</v>
      </c>
      <c r="M67" s="34"/>
      <c r="N67" s="45" t="e">
        <f t="shared" si="2"/>
        <v>#REF!</v>
      </c>
    </row>
    <row r="68" spans="1:15" s="5" customFormat="1" ht="13.5" customHeight="1">
      <c r="A68" s="263">
        <v>44946</v>
      </c>
      <c r="B68" s="247" t="s">
        <v>503</v>
      </c>
      <c r="C68" s="160"/>
      <c r="D68" s="37">
        <v>16</v>
      </c>
      <c r="E68" s="33" t="s">
        <v>525</v>
      </c>
      <c r="F68" s="35"/>
      <c r="G68" s="103"/>
      <c r="H68" s="38"/>
      <c r="I68" s="275">
        <v>3.6</v>
      </c>
      <c r="J68" s="285">
        <f>I68/'통장내역(환율표)'!$D$73</f>
        <v>0.53253038573476164</v>
      </c>
      <c r="K68" s="271">
        <f t="shared" si="3"/>
        <v>55056.438670473966</v>
      </c>
      <c r="L68" s="38">
        <f t="shared" si="4"/>
        <v>8144.28351898851</v>
      </c>
      <c r="M68" s="34"/>
      <c r="N68" s="45" t="e">
        <f t="shared" si="2"/>
        <v>#REF!</v>
      </c>
    </row>
    <row r="69" spans="1:15" s="5" customFormat="1" ht="13.5" customHeight="1">
      <c r="A69" s="263">
        <v>44946</v>
      </c>
      <c r="B69" s="247" t="s">
        <v>521</v>
      </c>
      <c r="C69" s="160"/>
      <c r="D69" s="37">
        <v>17</v>
      </c>
      <c r="E69" s="33" t="s">
        <v>525</v>
      </c>
      <c r="F69" s="35"/>
      <c r="G69" s="103"/>
      <c r="H69" s="38"/>
      <c r="I69" s="275">
        <v>848.97</v>
      </c>
      <c r="J69" s="285">
        <f>I69/'통장내역(환율표)'!$D$73</f>
        <v>125.58397821590017</v>
      </c>
      <c r="K69" s="271">
        <f t="shared" si="3"/>
        <v>54207.468670473965</v>
      </c>
      <c r="L69" s="38">
        <f t="shared" si="4"/>
        <v>8018.6995407726099</v>
      </c>
      <c r="M69" s="34"/>
      <c r="N69" s="45" t="e">
        <f t="shared" si="2"/>
        <v>#REF!</v>
      </c>
    </row>
    <row r="70" spans="1:15" s="5" customFormat="1" ht="13.5" customHeight="1">
      <c r="A70" s="263">
        <v>44946</v>
      </c>
      <c r="B70" s="247" t="s">
        <v>503</v>
      </c>
      <c r="C70" s="160"/>
      <c r="D70" s="37">
        <v>17</v>
      </c>
      <c r="E70" s="33" t="s">
        <v>525</v>
      </c>
      <c r="F70" s="35"/>
      <c r="G70" s="103"/>
      <c r="H70" s="38"/>
      <c r="I70" s="275">
        <v>3.6</v>
      </c>
      <c r="J70" s="285">
        <v>0.53100000000000003</v>
      </c>
      <c r="K70" s="271">
        <f t="shared" si="3"/>
        <v>54203.868670473967</v>
      </c>
      <c r="L70" s="38">
        <f t="shared" si="4"/>
        <v>8018.16854077261</v>
      </c>
      <c r="M70" s="34"/>
      <c r="N70" s="45" t="e">
        <f t="shared" si="2"/>
        <v>#REF!</v>
      </c>
    </row>
    <row r="71" spans="1:15" s="5" customFormat="1" ht="13.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3.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 s="28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2.7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2.7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2.7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2.7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</sheetData>
  <autoFilter ref="A16:N107" xr:uid="{00000000-0009-0000-0000-00000C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O147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6.5"/>
  <cols>
    <col min="1" max="1" width="10.25" bestFit="1" customWidth="1"/>
    <col min="2" max="2" width="30.75" customWidth="1"/>
    <col min="3" max="3" width="11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</cols>
  <sheetData>
    <row r="1" spans="1:14" ht="24">
      <c r="A1" s="1" t="s">
        <v>538</v>
      </c>
      <c r="B1" s="2"/>
      <c r="C1" s="2"/>
      <c r="D1" s="3"/>
      <c r="E1" s="306"/>
      <c r="F1" s="130"/>
      <c r="G1" s="307"/>
      <c r="H1" s="307"/>
      <c r="I1" s="307"/>
      <c r="J1" s="307"/>
      <c r="K1" s="308">
        <v>100007156</v>
      </c>
      <c r="L1" s="5"/>
      <c r="M1" s="5"/>
    </row>
    <row r="2" spans="1:14" s="5" customFormat="1" ht="17.25">
      <c r="A2" s="5" t="s">
        <v>595</v>
      </c>
      <c r="B2" s="2"/>
      <c r="C2" s="2"/>
      <c r="E2" s="308">
        <v>100007151</v>
      </c>
      <c r="F2" s="130"/>
      <c r="G2" s="130" t="s">
        <v>596</v>
      </c>
      <c r="H2" s="127"/>
      <c r="I2" s="127"/>
      <c r="J2" s="130"/>
      <c r="K2" s="308">
        <v>100007160</v>
      </c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22783</v>
      </c>
      <c r="J5" s="116">
        <v>3341.89</v>
      </c>
      <c r="K5" s="117">
        <v>4221141</v>
      </c>
      <c r="L5" s="348">
        <f>K5/I5</f>
        <v>185.27590747487162</v>
      </c>
      <c r="M5" s="304"/>
    </row>
    <row r="6" spans="1:14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14287.43</v>
      </c>
      <c r="J6" s="116">
        <v>2095.73</v>
      </c>
      <c r="K6" s="117">
        <v>2647117</v>
      </c>
      <c r="L6" s="248">
        <f>K6+E6</f>
        <v>2647117</v>
      </c>
    </row>
    <row r="7" spans="1:14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2851.5230000000001</v>
      </c>
      <c r="K7" s="117">
        <v>3601755</v>
      </c>
      <c r="L7" s="248">
        <f>K7+E7</f>
        <v>3601755</v>
      </c>
    </row>
    <row r="8" spans="1:14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1540.18</v>
      </c>
      <c r="K8" s="117">
        <v>1945401</v>
      </c>
      <c r="L8" s="248">
        <f>K8+E8</f>
        <v>1945401</v>
      </c>
    </row>
    <row r="9" spans="1:14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597.6</v>
      </c>
      <c r="J9" s="116">
        <v>87.66</v>
      </c>
      <c r="K9" s="117">
        <v>110723</v>
      </c>
      <c r="L9" s="248">
        <f>K9+E9</f>
        <v>110723</v>
      </c>
    </row>
    <row r="10" spans="1:14" s="5" customFormat="1" ht="13.5">
      <c r="A10" s="114" t="s">
        <v>62</v>
      </c>
      <c r="B10" s="115"/>
      <c r="C10" s="116">
        <v>54204.253453392703</v>
      </c>
      <c r="D10" s="116">
        <v>8018.17</v>
      </c>
      <c r="E10" s="117">
        <v>9997054</v>
      </c>
      <c r="F10" s="121">
        <v>51321010</v>
      </c>
      <c r="G10" s="114" t="s">
        <v>62</v>
      </c>
      <c r="H10" s="115"/>
      <c r="I10" s="116">
        <v>68929.826546607335</v>
      </c>
      <c r="J10" s="116">
        <v>10161.870000000001</v>
      </c>
      <c r="K10" s="117">
        <v>12835458</v>
      </c>
      <c r="L10" s="248">
        <f>K10+E10</f>
        <v>22832512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.5">
      <c r="A12" s="1493" t="s">
        <v>299</v>
      </c>
      <c r="B12" s="1494"/>
      <c r="C12" s="124">
        <f>SUM(C4:C11)</f>
        <v>54204.253453392703</v>
      </c>
      <c r="D12" s="124">
        <f>SUM(D4:D11)</f>
        <v>8018.17</v>
      </c>
      <c r="E12" s="125">
        <f>SUM(E4:E11)</f>
        <v>9997054</v>
      </c>
      <c r="F12" s="121">
        <v>52981010</v>
      </c>
      <c r="G12" s="1493" t="s">
        <v>299</v>
      </c>
      <c r="H12" s="1494"/>
      <c r="I12" s="124">
        <f>SUM(I4:I11)</f>
        <v>136537.85654660733</v>
      </c>
      <c r="J12" s="124">
        <f>SUM(J4:J11)</f>
        <v>20078.853000000003</v>
      </c>
      <c r="K12" s="125">
        <f>SUM(K4:K10)</f>
        <v>25361595</v>
      </c>
      <c r="L12" s="119"/>
    </row>
    <row r="13" spans="1:14" s="5" customFormat="1" ht="13.5">
      <c r="A13" s="126"/>
      <c r="B13" s="127"/>
      <c r="C13" s="128">
        <f>C12+I12</f>
        <v>190742.11000000004</v>
      </c>
      <c r="D13" s="128">
        <f>D12+J12</f>
        <v>28097.023000000001</v>
      </c>
      <c r="E13" s="250">
        <f>E12+K12</f>
        <v>35358649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.5">
      <c r="A14" s="305" t="s">
        <v>592</v>
      </c>
      <c r="B14" s="127"/>
      <c r="C14" s="128">
        <v>6800</v>
      </c>
      <c r="D14" s="128">
        <v>997.45</v>
      </c>
      <c r="E14" s="250"/>
      <c r="F14" s="180"/>
      <c r="G14" s="130"/>
      <c r="H14" s="130"/>
      <c r="I14" s="131"/>
      <c r="J14" s="130"/>
      <c r="K14" s="288"/>
      <c r="L14" s="253"/>
      <c r="N14" s="45"/>
    </row>
    <row r="15" spans="1:14" s="5" customFormat="1" ht="13.5">
      <c r="A15" s="126"/>
      <c r="B15" s="127"/>
      <c r="C15" s="128">
        <f>SUM(C13:C14)</f>
        <v>197542.11000000004</v>
      </c>
      <c r="D15" s="128">
        <f>SUM(D13:D14)</f>
        <v>29094.473000000002</v>
      </c>
      <c r="E15" s="250"/>
      <c r="F15" s="180"/>
      <c r="G15" s="130"/>
      <c r="H15" s="130"/>
      <c r="I15" s="131"/>
      <c r="J15" s="130"/>
      <c r="K15" s="288"/>
      <c r="L15" s="253"/>
      <c r="N15" s="45"/>
    </row>
    <row r="16" spans="1:14" s="5" customFormat="1" ht="13.5">
      <c r="B16" s="134">
        <v>13081010</v>
      </c>
      <c r="C16" s="135"/>
      <c r="D16" s="135"/>
      <c r="E16" s="136"/>
      <c r="F16" s="119"/>
      <c r="G16" s="6"/>
      <c r="H16" s="137">
        <f>SUBTOTAL(9,H19:H147)</f>
        <v>27612.62</v>
      </c>
      <c r="I16" s="137">
        <f>SUBTOTAL(9,I19:I162)</f>
        <v>197542.11000000007</v>
      </c>
      <c r="J16" s="137">
        <f>SUBTOTAL(9,J19:J160)</f>
        <v>29094.466324746765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44957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54203.868670473967</v>
      </c>
      <c r="L19" s="241">
        <v>8018.1685407726136</v>
      </c>
      <c r="M19" s="240"/>
      <c r="N19" s="45">
        <v>8018.17</v>
      </c>
    </row>
    <row r="20" spans="1:14" s="5" customFormat="1" ht="13.5" customHeight="1">
      <c r="A20" s="46">
        <v>44970</v>
      </c>
      <c r="B20" s="301" t="s">
        <v>552</v>
      </c>
      <c r="C20" s="49"/>
      <c r="D20" s="48"/>
      <c r="E20" s="47"/>
      <c r="F20" s="49"/>
      <c r="G20" s="54">
        <v>187898.59</v>
      </c>
      <c r="H20" s="50">
        <v>27612.62</v>
      </c>
      <c r="I20" s="302"/>
      <c r="J20" s="54"/>
      <c r="K20" s="303">
        <f>K19+G20-I20</f>
        <v>242102.45867047395</v>
      </c>
      <c r="L20" s="50">
        <f>L19+H20-J20</f>
        <v>35630.788540772613</v>
      </c>
      <c r="M20" s="52" t="s">
        <v>539</v>
      </c>
      <c r="N20" s="45"/>
    </row>
    <row r="21" spans="1:14" s="5" customFormat="1" ht="13.5" customHeight="1">
      <c r="A21" s="46">
        <v>44970</v>
      </c>
      <c r="B21" s="49" t="s">
        <v>445</v>
      </c>
      <c r="C21" s="49"/>
      <c r="D21" s="48">
        <v>1</v>
      </c>
      <c r="E21" s="47" t="s">
        <v>107</v>
      </c>
      <c r="F21" s="49"/>
      <c r="G21" s="54"/>
      <c r="H21" s="50"/>
      <c r="I21" s="302"/>
      <c r="J21" s="54">
        <v>51</v>
      </c>
      <c r="K21" s="303">
        <f t="shared" ref="K21:K29" si="0">K20+G21-I21</f>
        <v>242102.45867047395</v>
      </c>
      <c r="L21" s="50">
        <f t="shared" ref="L21:L29" si="1">L20+H21-J21</f>
        <v>35579.788540772613</v>
      </c>
      <c r="M21" s="52"/>
      <c r="N21" s="45"/>
    </row>
    <row r="22" spans="1:14" s="5" customFormat="1" ht="13.5" customHeight="1">
      <c r="A22" s="36">
        <v>44980</v>
      </c>
      <c r="B22" s="289" t="s">
        <v>131</v>
      </c>
      <c r="C22" s="35"/>
      <c r="D22" s="37">
        <v>2</v>
      </c>
      <c r="E22" s="33" t="s">
        <v>107</v>
      </c>
      <c r="F22" s="35"/>
      <c r="G22" s="103"/>
      <c r="H22" s="38"/>
      <c r="I22" s="275">
        <v>7606.18</v>
      </c>
      <c r="J22" s="285">
        <f>I22/'통장내역(환율표)'!$D$73</f>
        <v>1125.1449914911193</v>
      </c>
      <c r="K22" s="271">
        <f t="shared" si="0"/>
        <v>234496.27867047396</v>
      </c>
      <c r="L22" s="38">
        <f t="shared" si="1"/>
        <v>34454.643549281493</v>
      </c>
      <c r="M22" s="34" t="s">
        <v>584</v>
      </c>
      <c r="N22" s="45">
        <f>N19-J22+H22</f>
        <v>6893.025008508881</v>
      </c>
    </row>
    <row r="23" spans="1:14" s="5" customFormat="1" ht="13.5" customHeight="1">
      <c r="A23" s="36">
        <v>44980</v>
      </c>
      <c r="B23" s="289" t="s">
        <v>133</v>
      </c>
      <c r="C23" s="35"/>
      <c r="D23" s="37">
        <v>2</v>
      </c>
      <c r="E23" s="33" t="s">
        <v>107</v>
      </c>
      <c r="F23" s="35"/>
      <c r="G23" s="103"/>
      <c r="H23" s="38"/>
      <c r="I23" s="275">
        <v>1818.8899999999999</v>
      </c>
      <c r="J23" s="285">
        <f>I23/'통장내역(환율표)'!$D$73</f>
        <v>269.05949814141684</v>
      </c>
      <c r="K23" s="271">
        <f t="shared" si="0"/>
        <v>232677.38867047394</v>
      </c>
      <c r="L23" s="38">
        <f t="shared" si="1"/>
        <v>34185.584051140075</v>
      </c>
      <c r="M23" s="34" t="s">
        <v>584</v>
      </c>
      <c r="N23" s="45">
        <f>N22-J23+H23</f>
        <v>6623.965510367464</v>
      </c>
    </row>
    <row r="24" spans="1:14" s="5" customFormat="1" ht="13.5" customHeight="1">
      <c r="A24" s="36">
        <v>44980</v>
      </c>
      <c r="B24" s="289" t="s">
        <v>456</v>
      </c>
      <c r="C24" s="35"/>
      <c r="D24" s="37">
        <v>2</v>
      </c>
      <c r="E24" s="33" t="s">
        <v>107</v>
      </c>
      <c r="F24" s="35"/>
      <c r="G24" s="103"/>
      <c r="H24" s="38"/>
      <c r="I24" s="275">
        <v>13500</v>
      </c>
      <c r="J24" s="285">
        <f>I24/'통장내역(환율표)'!$D$73</f>
        <v>1996.9889465053561</v>
      </c>
      <c r="K24" s="271">
        <f t="shared" si="0"/>
        <v>219177.38867047394</v>
      </c>
      <c r="L24" s="38">
        <f t="shared" si="1"/>
        <v>32188.595104634718</v>
      </c>
      <c r="M24" s="34" t="s">
        <v>584</v>
      </c>
      <c r="N24" s="45">
        <f t="shared" ref="N24:N29" si="2">N23-J24+H24</f>
        <v>4626.9765638621084</v>
      </c>
    </row>
    <row r="25" spans="1:14" s="5" customFormat="1" ht="13.5" customHeight="1">
      <c r="A25" s="36">
        <v>44980</v>
      </c>
      <c r="B25" s="289" t="s">
        <v>457</v>
      </c>
      <c r="C25" s="35"/>
      <c r="D25" s="37">
        <v>2</v>
      </c>
      <c r="E25" s="33" t="s">
        <v>107</v>
      </c>
      <c r="F25" s="35"/>
      <c r="G25" s="103"/>
      <c r="H25" s="38"/>
      <c r="I25" s="275">
        <v>20000</v>
      </c>
      <c r="J25" s="285">
        <f>I25/'통장내역(환율표)'!$D$73</f>
        <v>2958.5021429708981</v>
      </c>
      <c r="K25" s="271">
        <f t="shared" si="0"/>
        <v>199177.38867047394</v>
      </c>
      <c r="L25" s="38">
        <f t="shared" si="1"/>
        <v>29230.09296166382</v>
      </c>
      <c r="M25" s="34" t="s">
        <v>584</v>
      </c>
      <c r="N25" s="45">
        <f t="shared" si="2"/>
        <v>1668.4744208912102</v>
      </c>
    </row>
    <row r="26" spans="1:14" s="5" customFormat="1" ht="13.5" customHeight="1">
      <c r="A26" s="36">
        <v>44980</v>
      </c>
      <c r="B26" s="289" t="s">
        <v>130</v>
      </c>
      <c r="C26" s="35"/>
      <c r="D26" s="37">
        <v>2</v>
      </c>
      <c r="E26" s="33" t="s">
        <v>107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198877.38867047394</v>
      </c>
      <c r="L26" s="38">
        <f t="shared" si="1"/>
        <v>29185.715429519256</v>
      </c>
      <c r="M26" s="34" t="s">
        <v>584</v>
      </c>
      <c r="N26" s="45">
        <f t="shared" si="2"/>
        <v>1624.0968887466468</v>
      </c>
    </row>
    <row r="27" spans="1:14" s="5" customFormat="1" ht="13.5" customHeight="1">
      <c r="A27" s="36">
        <v>44980</v>
      </c>
      <c r="B27" s="289" t="s">
        <v>131</v>
      </c>
      <c r="C27" s="35"/>
      <c r="D27" s="37">
        <v>2</v>
      </c>
      <c r="E27" s="33" t="s">
        <v>107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194646.20867047395</v>
      </c>
      <c r="L27" s="38">
        <f t="shared" si="1"/>
        <v>28559.817674654474</v>
      </c>
      <c r="M27" s="34" t="s">
        <v>585</v>
      </c>
      <c r="N27" s="45">
        <f t="shared" si="2"/>
        <v>998.19913388186649</v>
      </c>
    </row>
    <row r="28" spans="1:14" s="5" customFormat="1" ht="13.5" customHeight="1">
      <c r="A28" s="36">
        <v>44980</v>
      </c>
      <c r="B28" s="289" t="s">
        <v>133</v>
      </c>
      <c r="C28" s="35"/>
      <c r="D28" s="37">
        <v>2</v>
      </c>
      <c r="E28" s="33" t="s">
        <v>107</v>
      </c>
      <c r="F28" s="35"/>
      <c r="G28" s="103"/>
      <c r="H28" s="38"/>
      <c r="I28" s="275">
        <v>1074.29</v>
      </c>
      <c r="J28" s="285">
        <f>I28/'통장내역(환율표)'!$D$73</f>
        <v>158.91446335861031</v>
      </c>
      <c r="K28" s="271">
        <f t="shared" si="0"/>
        <v>193571.91867047394</v>
      </c>
      <c r="L28" s="38">
        <f t="shared" si="1"/>
        <v>28400.903211295863</v>
      </c>
      <c r="M28" s="34" t="s">
        <v>585</v>
      </c>
      <c r="N28" s="45">
        <f t="shared" si="2"/>
        <v>839.28467052325618</v>
      </c>
    </row>
    <row r="29" spans="1:14" s="5" customFormat="1" ht="13.5" customHeight="1">
      <c r="A29" s="292">
        <v>44980</v>
      </c>
      <c r="B29" s="293" t="s">
        <v>590</v>
      </c>
      <c r="C29" s="294"/>
      <c r="D29" s="295">
        <v>2</v>
      </c>
      <c r="E29" s="296" t="s">
        <v>107</v>
      </c>
      <c r="F29" s="294"/>
      <c r="G29" s="198"/>
      <c r="H29" s="297"/>
      <c r="I29" s="298">
        <f>J29*'통장내역(환율표)'!$D$73</f>
        <v>5673.7134533927019</v>
      </c>
      <c r="J29" s="285">
        <v>839.28467052325618</v>
      </c>
      <c r="K29" s="299">
        <f t="shared" si="0"/>
        <v>187898.20521708124</v>
      </c>
      <c r="L29" s="297">
        <f t="shared" si="1"/>
        <v>27561.618540772608</v>
      </c>
      <c r="M29" s="300" t="s">
        <v>585</v>
      </c>
      <c r="N29" s="45">
        <f t="shared" si="2"/>
        <v>0</v>
      </c>
    </row>
    <row r="30" spans="1:14" s="5" customFormat="1" ht="13.5" customHeight="1">
      <c r="A30" s="292">
        <v>44980</v>
      </c>
      <c r="B30" s="293" t="s">
        <v>591</v>
      </c>
      <c r="C30" s="294"/>
      <c r="D30" s="295">
        <v>2</v>
      </c>
      <c r="E30" s="296" t="s">
        <v>107</v>
      </c>
      <c r="F30" s="294"/>
      <c r="G30" s="198"/>
      <c r="H30" s="297"/>
      <c r="I30" s="298">
        <f>13500-I29</f>
        <v>7826.2865466072981</v>
      </c>
      <c r="J30" s="54">
        <f>I30/'통장내역(환율표)'!$D$79</f>
        <v>1147.9869849406673</v>
      </c>
      <c r="K30" s="299">
        <f t="shared" ref="K30:L33" si="3">K29+G30-I30</f>
        <v>180071.91867047394</v>
      </c>
      <c r="L30" s="297">
        <f t="shared" si="3"/>
        <v>26413.63155583194</v>
      </c>
      <c r="M30" s="300"/>
      <c r="N30" s="45">
        <f>27561.62-J30+H30</f>
        <v>26413.633015059331</v>
      </c>
    </row>
    <row r="31" spans="1:14" s="5" customFormat="1" ht="13.5" customHeight="1">
      <c r="A31" s="36">
        <v>44980</v>
      </c>
      <c r="B31" s="289" t="s">
        <v>587</v>
      </c>
      <c r="C31" s="35"/>
      <c r="D31" s="37">
        <v>2</v>
      </c>
      <c r="E31" s="33" t="s">
        <v>588</v>
      </c>
      <c r="F31" s="35"/>
      <c r="G31" s="103"/>
      <c r="H31" s="38"/>
      <c r="I31" s="275">
        <v>14000</v>
      </c>
      <c r="J31" s="54">
        <f>I31/'통장내역(환율표)'!$D$79</f>
        <v>2053.5687894198672</v>
      </c>
      <c r="K31" s="271">
        <f t="shared" si="3"/>
        <v>166071.91867047394</v>
      </c>
      <c r="L31" s="38">
        <f t="shared" si="3"/>
        <v>24360.062766412073</v>
      </c>
      <c r="M31" s="34" t="s">
        <v>589</v>
      </c>
      <c r="N31" s="45">
        <f>N30-J31+H31</f>
        <v>24360.064225639464</v>
      </c>
    </row>
    <row r="32" spans="1:14" s="5" customFormat="1" ht="13.5" customHeight="1">
      <c r="A32" s="36">
        <v>44980</v>
      </c>
      <c r="B32" s="289" t="s">
        <v>130</v>
      </c>
      <c r="C32" s="35"/>
      <c r="D32" s="37">
        <v>2</v>
      </c>
      <c r="E32" s="33" t="s">
        <v>107</v>
      </c>
      <c r="F32" s="35"/>
      <c r="G32" s="103"/>
      <c r="H32" s="38"/>
      <c r="I32" s="275">
        <v>300</v>
      </c>
      <c r="J32" s="54">
        <f>I32/'통장내역(환율표)'!$D$79</f>
        <v>44.005045487568587</v>
      </c>
      <c r="K32" s="271">
        <f t="shared" si="3"/>
        <v>165771.91867047394</v>
      </c>
      <c r="L32" s="38">
        <f t="shared" si="3"/>
        <v>24316.057720924506</v>
      </c>
      <c r="M32" s="34" t="s">
        <v>585</v>
      </c>
      <c r="N32" s="45">
        <f t="shared" ref="N32:N81" si="4">N31-J32+H32</f>
        <v>24316.059180151897</v>
      </c>
    </row>
    <row r="33" spans="1:14" s="5" customFormat="1" ht="13.5" customHeight="1">
      <c r="A33" s="36">
        <v>44980</v>
      </c>
      <c r="B33" s="289" t="s">
        <v>882</v>
      </c>
      <c r="C33" s="35"/>
      <c r="D33" s="37">
        <v>2</v>
      </c>
      <c r="E33" s="33" t="s">
        <v>107</v>
      </c>
      <c r="F33" s="35"/>
      <c r="G33" s="103"/>
      <c r="H33" s="38"/>
      <c r="I33" s="275">
        <v>5043.1899999999996</v>
      </c>
      <c r="J33" s="54">
        <f>I33/'통장내역(환율표)'!$D$79</f>
        <v>739.75268450816998</v>
      </c>
      <c r="K33" s="271">
        <f t="shared" si="3"/>
        <v>160728.72867047394</v>
      </c>
      <c r="L33" s="38">
        <f t="shared" si="3"/>
        <v>23576.305036416335</v>
      </c>
      <c r="M33" s="34" t="s">
        <v>586</v>
      </c>
      <c r="N33" s="45">
        <f t="shared" si="4"/>
        <v>23576.306495643727</v>
      </c>
    </row>
    <row r="34" spans="1:14" s="5" customFormat="1" ht="13.5" customHeight="1">
      <c r="A34" s="36">
        <v>44980</v>
      </c>
      <c r="B34" s="289" t="s">
        <v>594</v>
      </c>
      <c r="C34" s="35"/>
      <c r="D34" s="37">
        <v>2</v>
      </c>
      <c r="E34" s="33" t="s">
        <v>107</v>
      </c>
      <c r="F34" s="35"/>
      <c r="G34" s="103"/>
      <c r="H34" s="38"/>
      <c r="I34" s="275">
        <v>25000</v>
      </c>
      <c r="J34" s="54">
        <f>I34/'통장내역(환율표)'!$D$79</f>
        <v>3667.0871239640487</v>
      </c>
      <c r="K34" s="271">
        <f t="shared" ref="K34:K81" si="5">K33+G34-I34</f>
        <v>135728.72867047394</v>
      </c>
      <c r="L34" s="38">
        <f t="shared" ref="L34:L81" si="6">L33+H34-J34</f>
        <v>19909.217912452288</v>
      </c>
      <c r="M34" s="34" t="s">
        <v>586</v>
      </c>
      <c r="N34" s="45" t="e">
        <f>#REF!-J34+H34</f>
        <v>#REF!</v>
      </c>
    </row>
    <row r="35" spans="1:14" s="5" customFormat="1" ht="13.5" customHeight="1">
      <c r="A35" s="36">
        <v>44980</v>
      </c>
      <c r="B35" s="289" t="s">
        <v>881</v>
      </c>
      <c r="C35" s="35"/>
      <c r="D35" s="37">
        <v>2</v>
      </c>
      <c r="E35" s="33" t="s">
        <v>107</v>
      </c>
      <c r="F35" s="35"/>
      <c r="G35" s="103"/>
      <c r="H35" s="38"/>
      <c r="I35" s="275">
        <v>300</v>
      </c>
      <c r="J35" s="54">
        <f>I35/'통장내역(환율표)'!$D$79</f>
        <v>44.005045487568587</v>
      </c>
      <c r="K35" s="271">
        <f t="shared" si="5"/>
        <v>135428.72867047394</v>
      </c>
      <c r="L35" s="38">
        <f t="shared" si="6"/>
        <v>19865.212866964721</v>
      </c>
      <c r="M35" s="34" t="s">
        <v>586</v>
      </c>
      <c r="N35" s="45" t="e">
        <f t="shared" si="4"/>
        <v>#REF!</v>
      </c>
    </row>
    <row r="36" spans="1:14" s="5" customFormat="1" ht="13.5" customHeight="1">
      <c r="A36" s="36">
        <v>44980</v>
      </c>
      <c r="B36" s="289" t="s">
        <v>250</v>
      </c>
      <c r="C36" s="35"/>
      <c r="D36" s="37">
        <v>2</v>
      </c>
      <c r="E36" s="33" t="s">
        <v>107</v>
      </c>
      <c r="F36" s="35"/>
      <c r="G36" s="103"/>
      <c r="H36" s="38"/>
      <c r="I36" s="275">
        <v>12</v>
      </c>
      <c r="J36" s="54">
        <f>I36/'통장내역(환율표)'!$D$79</f>
        <v>1.7602018195027436</v>
      </c>
      <c r="K36" s="271">
        <f t="shared" si="5"/>
        <v>135416.72867047394</v>
      </c>
      <c r="L36" s="38">
        <f t="shared" si="6"/>
        <v>19863.452665145218</v>
      </c>
      <c r="M36" s="34"/>
      <c r="N36" s="45" t="e">
        <f t="shared" si="4"/>
        <v>#REF!</v>
      </c>
    </row>
    <row r="37" spans="1:14" s="5" customFormat="1" ht="13.5" customHeight="1">
      <c r="A37" s="36">
        <v>44980</v>
      </c>
      <c r="B37" s="289" t="s">
        <v>553</v>
      </c>
      <c r="C37" s="35"/>
      <c r="D37" s="290">
        <v>3</v>
      </c>
      <c r="E37" s="33" t="s">
        <v>568</v>
      </c>
      <c r="F37" s="33" t="s">
        <v>569</v>
      </c>
      <c r="G37" s="103"/>
      <c r="H37" s="38"/>
      <c r="I37" s="275">
        <v>19440</v>
      </c>
      <c r="J37" s="54">
        <f>I37/'통장내역(환율표)'!$D$79</f>
        <v>2851.5269475944447</v>
      </c>
      <c r="K37" s="271">
        <f t="shared" si="5"/>
        <v>115976.72867047394</v>
      </c>
      <c r="L37" s="38">
        <f t="shared" si="6"/>
        <v>17011.925717550774</v>
      </c>
      <c r="M37" s="34" t="s">
        <v>567</v>
      </c>
      <c r="N37" s="45" t="e">
        <f t="shared" si="4"/>
        <v>#REF!</v>
      </c>
    </row>
    <row r="38" spans="1:14" s="5" customFormat="1" ht="13.5" customHeight="1">
      <c r="A38" s="36">
        <v>44980</v>
      </c>
      <c r="B38" s="289" t="s">
        <v>250</v>
      </c>
      <c r="C38" s="35"/>
      <c r="D38" s="290">
        <v>3</v>
      </c>
      <c r="E38" s="33" t="s">
        <v>107</v>
      </c>
      <c r="F38" s="35"/>
      <c r="G38" s="103"/>
      <c r="H38" s="38"/>
      <c r="I38" s="275">
        <v>7.2</v>
      </c>
      <c r="J38" s="54">
        <f>I38/'통장내역(환율표)'!$D$79</f>
        <v>1.0561210917016461</v>
      </c>
      <c r="K38" s="271">
        <f t="shared" si="5"/>
        <v>115969.52867047394</v>
      </c>
      <c r="L38" s="38">
        <f t="shared" si="6"/>
        <v>17010.869596459073</v>
      </c>
      <c r="M38" s="34"/>
      <c r="N38" s="45" t="e">
        <f t="shared" si="4"/>
        <v>#REF!</v>
      </c>
    </row>
    <row r="39" spans="1:14" s="5" customFormat="1" ht="13.5" customHeight="1">
      <c r="A39" s="36">
        <v>44980</v>
      </c>
      <c r="B39" s="289" t="s">
        <v>554</v>
      </c>
      <c r="C39" s="35"/>
      <c r="D39" s="290">
        <v>4</v>
      </c>
      <c r="E39" s="33" t="s">
        <v>107</v>
      </c>
      <c r="F39" s="35"/>
      <c r="G39" s="103"/>
      <c r="H39" s="38"/>
      <c r="I39" s="275">
        <v>172.05</v>
      </c>
      <c r="J39" s="54">
        <f>I39/'통장내역(환율표)'!$D$79</f>
        <v>25.236893587120587</v>
      </c>
      <c r="K39" s="271">
        <f t="shared" si="5"/>
        <v>115797.47867047394</v>
      </c>
      <c r="L39" s="38">
        <f t="shared" si="6"/>
        <v>16985.632702871953</v>
      </c>
      <c r="M39" s="34" t="s">
        <v>540</v>
      </c>
      <c r="N39" s="45" t="e">
        <f t="shared" si="4"/>
        <v>#REF!</v>
      </c>
    </row>
    <row r="40" spans="1:14" s="5" customFormat="1" ht="13.5" customHeight="1">
      <c r="A40" s="36">
        <v>44980</v>
      </c>
      <c r="B40" s="289" t="s">
        <v>250</v>
      </c>
      <c r="C40" s="35"/>
      <c r="D40" s="290">
        <v>4</v>
      </c>
      <c r="E40" s="33" t="s">
        <v>107</v>
      </c>
      <c r="F40" s="35"/>
      <c r="G40" s="103"/>
      <c r="H40" s="38"/>
      <c r="I40" s="275">
        <v>3.6</v>
      </c>
      <c r="J40" s="54">
        <f>I40/'통장내역(환율표)'!$D$79</f>
        <v>0.52806054585082307</v>
      </c>
      <c r="K40" s="271">
        <f t="shared" si="5"/>
        <v>115793.87867047393</v>
      </c>
      <c r="L40" s="38">
        <f t="shared" si="6"/>
        <v>16985.104642326103</v>
      </c>
      <c r="M40" s="34"/>
      <c r="N40" s="45" t="e">
        <f t="shared" si="4"/>
        <v>#REF!</v>
      </c>
    </row>
    <row r="41" spans="1:14" s="5" customFormat="1" ht="13.5" customHeight="1">
      <c r="A41" s="36">
        <v>44980</v>
      </c>
      <c r="B41" s="289" t="s">
        <v>346</v>
      </c>
      <c r="C41" s="35"/>
      <c r="D41" s="290">
        <v>5</v>
      </c>
      <c r="E41" s="33" t="s">
        <v>15</v>
      </c>
      <c r="F41" s="35" t="s">
        <v>226</v>
      </c>
      <c r="G41" s="103"/>
      <c r="H41" s="38"/>
      <c r="I41" s="275">
        <v>10500</v>
      </c>
      <c r="J41" s="54">
        <f>I41/'통장내역(환율표)'!$D$79</f>
        <v>1540.1765920649007</v>
      </c>
      <c r="K41" s="271">
        <f t="shared" si="5"/>
        <v>105293.87867047393</v>
      </c>
      <c r="L41" s="38">
        <f t="shared" si="6"/>
        <v>15444.928050261202</v>
      </c>
      <c r="M41" s="34"/>
      <c r="N41" s="45" t="e">
        <f t="shared" si="4"/>
        <v>#REF!</v>
      </c>
    </row>
    <row r="42" spans="1:14" s="5" customFormat="1" ht="13.5" customHeight="1">
      <c r="A42" s="36">
        <v>44980</v>
      </c>
      <c r="B42" s="289" t="s">
        <v>347</v>
      </c>
      <c r="C42" s="35"/>
      <c r="D42" s="290">
        <v>5</v>
      </c>
      <c r="E42" s="33" t="s">
        <v>107</v>
      </c>
      <c r="F42" s="35"/>
      <c r="G42" s="103"/>
      <c r="H42" s="38"/>
      <c r="I42" s="275">
        <v>6000</v>
      </c>
      <c r="J42" s="54">
        <f>I42/'통장내역(환율표)'!$D$79</f>
        <v>880.10090975137177</v>
      </c>
      <c r="K42" s="271">
        <f t="shared" si="5"/>
        <v>99293.878670473932</v>
      </c>
      <c r="L42" s="38">
        <f t="shared" si="6"/>
        <v>14564.827140509829</v>
      </c>
      <c r="M42" s="34"/>
      <c r="N42" s="45" t="e">
        <f t="shared" si="4"/>
        <v>#REF!</v>
      </c>
    </row>
    <row r="43" spans="1:14" s="5" customFormat="1" ht="13.5" customHeight="1">
      <c r="A43" s="36">
        <v>44980</v>
      </c>
      <c r="B43" s="35" t="s">
        <v>593</v>
      </c>
      <c r="C43" s="35"/>
      <c r="D43" s="290">
        <v>5</v>
      </c>
      <c r="E43" s="33" t="s">
        <v>107</v>
      </c>
      <c r="F43" s="35"/>
      <c r="G43" s="103"/>
      <c r="H43" s="38"/>
      <c r="I43" s="275">
        <v>280</v>
      </c>
      <c r="J43" s="54">
        <f>I43/'통장내역(환율표)'!$D$79</f>
        <v>41.071375788397347</v>
      </c>
      <c r="K43" s="271">
        <f t="shared" si="5"/>
        <v>99013.878670473932</v>
      </c>
      <c r="L43" s="38">
        <f t="shared" si="6"/>
        <v>14523.755764721433</v>
      </c>
      <c r="M43" s="34"/>
      <c r="N43" s="45" t="e">
        <f t="shared" si="4"/>
        <v>#REF!</v>
      </c>
    </row>
    <row r="44" spans="1:14" s="5" customFormat="1" ht="13.5" customHeight="1">
      <c r="A44" s="36">
        <v>44980</v>
      </c>
      <c r="B44" s="289" t="s">
        <v>250</v>
      </c>
      <c r="C44" s="35"/>
      <c r="D44" s="290">
        <v>5</v>
      </c>
      <c r="E44" s="33" t="s">
        <v>570</v>
      </c>
      <c r="F44" s="35"/>
      <c r="G44" s="103"/>
      <c r="H44" s="38"/>
      <c r="I44" s="275">
        <v>7.2</v>
      </c>
      <c r="J44" s="54">
        <f>I44/'통장내역(환율표)'!$D$79</f>
        <v>1.0561210917016461</v>
      </c>
      <c r="K44" s="271">
        <f t="shared" si="5"/>
        <v>99006.678670473935</v>
      </c>
      <c r="L44" s="38">
        <f t="shared" si="6"/>
        <v>14522.69964362973</v>
      </c>
      <c r="M44" s="34"/>
      <c r="N44" s="45" t="e">
        <f t="shared" si="4"/>
        <v>#REF!</v>
      </c>
    </row>
    <row r="45" spans="1:14" s="5" customFormat="1" ht="13.5" customHeight="1">
      <c r="A45" s="36">
        <v>44980</v>
      </c>
      <c r="B45" s="289" t="s">
        <v>555</v>
      </c>
      <c r="C45" s="35"/>
      <c r="D45" s="290">
        <v>6</v>
      </c>
      <c r="E45" s="33" t="s">
        <v>570</v>
      </c>
      <c r="F45" s="35"/>
      <c r="G45" s="103"/>
      <c r="H45" s="38"/>
      <c r="I45" s="275">
        <v>1000</v>
      </c>
      <c r="J45" s="54">
        <f>I45/'통장내역(환율표)'!$D$79</f>
        <v>146.68348495856196</v>
      </c>
      <c r="K45" s="271">
        <f t="shared" si="5"/>
        <v>98006.678670473935</v>
      </c>
      <c r="L45" s="38">
        <f t="shared" si="6"/>
        <v>14376.016158671169</v>
      </c>
      <c r="M45" s="34" t="s">
        <v>541</v>
      </c>
      <c r="N45" s="45" t="e">
        <f t="shared" si="4"/>
        <v>#REF!</v>
      </c>
    </row>
    <row r="46" spans="1:14" s="5" customFormat="1" ht="13.5" customHeight="1">
      <c r="A46" s="36">
        <v>44980</v>
      </c>
      <c r="B46" s="289" t="s">
        <v>250</v>
      </c>
      <c r="C46" s="35"/>
      <c r="D46" s="290">
        <v>6</v>
      </c>
      <c r="E46" s="33" t="s">
        <v>570</v>
      </c>
      <c r="F46" s="35"/>
      <c r="G46" s="103"/>
      <c r="H46" s="38"/>
      <c r="I46" s="275">
        <v>3.6</v>
      </c>
      <c r="J46" s="54">
        <f>I46/'통장내역(환율표)'!$D$79</f>
        <v>0.52806054585082307</v>
      </c>
      <c r="K46" s="271">
        <f t="shared" si="5"/>
        <v>98003.078670473929</v>
      </c>
      <c r="L46" s="38">
        <f t="shared" si="6"/>
        <v>14375.488098125319</v>
      </c>
      <c r="M46" s="34"/>
      <c r="N46" s="45" t="e">
        <f t="shared" si="4"/>
        <v>#REF!</v>
      </c>
    </row>
    <row r="47" spans="1:14" s="5" customFormat="1" ht="13.5" customHeight="1">
      <c r="A47" s="36">
        <v>44980</v>
      </c>
      <c r="B47" s="289" t="s">
        <v>571</v>
      </c>
      <c r="C47" s="35"/>
      <c r="D47" s="291">
        <v>7</v>
      </c>
      <c r="E47" s="33" t="s">
        <v>325</v>
      </c>
      <c r="F47" s="35" t="s">
        <v>527</v>
      </c>
      <c r="G47" s="103"/>
      <c r="H47" s="38"/>
      <c r="I47" s="275">
        <v>918</v>
      </c>
      <c r="J47" s="54">
        <f>I47/'통장내역(환율표)'!$D$79</f>
        <v>134.65543919195989</v>
      </c>
      <c r="K47" s="271">
        <f t="shared" si="5"/>
        <v>97085.078670473929</v>
      </c>
      <c r="L47" s="38">
        <f t="shared" si="6"/>
        <v>14240.832658933359</v>
      </c>
      <c r="M47" s="34"/>
      <c r="N47" s="45" t="e">
        <f t="shared" si="4"/>
        <v>#REF!</v>
      </c>
    </row>
    <row r="48" spans="1:14" s="5" customFormat="1" ht="13.5" customHeight="1">
      <c r="A48" s="36">
        <v>44980</v>
      </c>
      <c r="B48" s="289" t="s">
        <v>572</v>
      </c>
      <c r="C48" s="35"/>
      <c r="D48" s="291">
        <v>7</v>
      </c>
      <c r="E48" s="33" t="s">
        <v>325</v>
      </c>
      <c r="F48" s="35" t="s">
        <v>527</v>
      </c>
      <c r="G48" s="103"/>
      <c r="H48" s="38"/>
      <c r="I48" s="275">
        <v>2120</v>
      </c>
      <c r="J48" s="54">
        <f>I48/'통장내역(환율표)'!$D$79</f>
        <v>310.96898811215135</v>
      </c>
      <c r="K48" s="271">
        <f t="shared" si="5"/>
        <v>94965.078670473929</v>
      </c>
      <c r="L48" s="38">
        <f t="shared" si="6"/>
        <v>13929.863670821207</v>
      </c>
      <c r="M48" s="34"/>
      <c r="N48" s="45" t="e">
        <f t="shared" si="4"/>
        <v>#REF!</v>
      </c>
    </row>
    <row r="49" spans="1:14" s="5" customFormat="1" ht="13.5" customHeight="1">
      <c r="A49" s="36">
        <v>44980</v>
      </c>
      <c r="B49" s="289" t="s">
        <v>573</v>
      </c>
      <c r="C49" s="35"/>
      <c r="D49" s="291">
        <v>7</v>
      </c>
      <c r="E49" s="33" t="s">
        <v>325</v>
      </c>
      <c r="F49" s="35" t="s">
        <v>527</v>
      </c>
      <c r="G49" s="103"/>
      <c r="H49" s="38"/>
      <c r="I49" s="275">
        <v>182</v>
      </c>
      <c r="J49" s="54">
        <f>I49/'통장내역(환율표)'!$D$79</f>
        <v>26.696394262458277</v>
      </c>
      <c r="K49" s="271">
        <f t="shared" si="5"/>
        <v>94783.078670473929</v>
      </c>
      <c r="L49" s="38">
        <f t="shared" si="6"/>
        <v>13903.167276558748</v>
      </c>
      <c r="M49" s="34"/>
      <c r="N49" s="45" t="e">
        <f t="shared" si="4"/>
        <v>#REF!</v>
      </c>
    </row>
    <row r="50" spans="1:14" s="5" customFormat="1" ht="13.5" customHeight="1">
      <c r="A50" s="36">
        <v>44980</v>
      </c>
      <c r="B50" s="289" t="s">
        <v>250</v>
      </c>
      <c r="C50" s="35"/>
      <c r="D50" s="291">
        <v>7</v>
      </c>
      <c r="E50" s="33" t="s">
        <v>570</v>
      </c>
      <c r="F50" s="35"/>
      <c r="G50" s="103"/>
      <c r="H50" s="38"/>
      <c r="I50" s="275">
        <v>3.6</v>
      </c>
      <c r="J50" s="54">
        <f>I50/'통장내역(환율표)'!$D$79</f>
        <v>0.52806054585082307</v>
      </c>
      <c r="K50" s="271">
        <f t="shared" si="5"/>
        <v>94779.478670473924</v>
      </c>
      <c r="L50" s="38">
        <f t="shared" si="6"/>
        <v>13902.639216012898</v>
      </c>
      <c r="M50" s="34"/>
      <c r="N50" s="45" t="e">
        <f t="shared" si="4"/>
        <v>#REF!</v>
      </c>
    </row>
    <row r="51" spans="1:14" s="5" customFormat="1" ht="13.5" customHeight="1">
      <c r="A51" s="36">
        <v>44980</v>
      </c>
      <c r="B51" s="289" t="s">
        <v>574</v>
      </c>
      <c r="C51" s="35"/>
      <c r="D51" s="290">
        <v>8</v>
      </c>
      <c r="E51" s="33" t="s">
        <v>580</v>
      </c>
      <c r="F51" s="35" t="s">
        <v>581</v>
      </c>
      <c r="G51" s="103"/>
      <c r="H51" s="38"/>
      <c r="I51" s="275">
        <v>227</v>
      </c>
      <c r="J51" s="54">
        <f>I51/'통장내역(환율표)'!$D$79</f>
        <v>33.297151085593562</v>
      </c>
      <c r="K51" s="271">
        <f t="shared" si="5"/>
        <v>94552.478670473924</v>
      </c>
      <c r="L51" s="38">
        <f t="shared" si="6"/>
        <v>13869.342064927305</v>
      </c>
      <c r="M51" s="34"/>
      <c r="N51" s="45" t="e">
        <f t="shared" si="4"/>
        <v>#REF!</v>
      </c>
    </row>
    <row r="52" spans="1:14" s="5" customFormat="1" ht="13.5" customHeight="1">
      <c r="A52" s="36">
        <v>44980</v>
      </c>
      <c r="B52" s="289" t="s">
        <v>575</v>
      </c>
      <c r="C52" s="35"/>
      <c r="D52" s="290">
        <v>8</v>
      </c>
      <c r="E52" s="33" t="s">
        <v>582</v>
      </c>
      <c r="F52" s="35"/>
      <c r="G52" s="103"/>
      <c r="H52" s="38"/>
      <c r="I52" s="275">
        <v>154.9</v>
      </c>
      <c r="J52" s="54">
        <f>I52/'통장내역(환율표)'!$D$79</f>
        <v>22.721271820081249</v>
      </c>
      <c r="K52" s="271">
        <f t="shared" si="5"/>
        <v>94397.578670473929</v>
      </c>
      <c r="L52" s="38">
        <f t="shared" si="6"/>
        <v>13846.620793107224</v>
      </c>
      <c r="M52" s="34"/>
      <c r="N52" s="45" t="e">
        <f t="shared" si="4"/>
        <v>#REF!</v>
      </c>
    </row>
    <row r="53" spans="1:14" s="5" customFormat="1" ht="13.5" customHeight="1">
      <c r="A53" s="36">
        <v>44980</v>
      </c>
      <c r="B53" s="289" t="s">
        <v>576</v>
      </c>
      <c r="C53" s="35"/>
      <c r="D53" s="290">
        <v>8</v>
      </c>
      <c r="E53" s="33" t="s">
        <v>201</v>
      </c>
      <c r="F53" s="35" t="s">
        <v>444</v>
      </c>
      <c r="G53" s="103"/>
      <c r="H53" s="38"/>
      <c r="I53" s="275">
        <v>98.6</v>
      </c>
      <c r="J53" s="54">
        <f>I53/'통장내역(환율표)'!$D$79</f>
        <v>14.462991616914207</v>
      </c>
      <c r="K53" s="271">
        <f t="shared" si="5"/>
        <v>94298.978670473924</v>
      </c>
      <c r="L53" s="38">
        <f t="shared" si="6"/>
        <v>13832.15780149031</v>
      </c>
      <c r="M53" s="34"/>
      <c r="N53" s="45" t="e">
        <f t="shared" si="4"/>
        <v>#REF!</v>
      </c>
    </row>
    <row r="54" spans="1:14" s="5" customFormat="1" ht="13.5" customHeight="1">
      <c r="A54" s="36">
        <v>44980</v>
      </c>
      <c r="B54" s="289" t="s">
        <v>577</v>
      </c>
      <c r="C54" s="35"/>
      <c r="D54" s="290">
        <v>8</v>
      </c>
      <c r="E54" s="33" t="s">
        <v>325</v>
      </c>
      <c r="F54" s="35" t="s">
        <v>527</v>
      </c>
      <c r="G54" s="103"/>
      <c r="H54" s="38"/>
      <c r="I54" s="275">
        <v>1497.56</v>
      </c>
      <c r="J54" s="54">
        <f>I54/'통장내역(환율표)'!$D$79</f>
        <v>219.66731973454404</v>
      </c>
      <c r="K54" s="271">
        <f t="shared" si="5"/>
        <v>92801.418670473926</v>
      </c>
      <c r="L54" s="38">
        <f t="shared" si="6"/>
        <v>13612.490481755765</v>
      </c>
      <c r="M54" s="34"/>
      <c r="N54" s="45" t="e">
        <f t="shared" si="4"/>
        <v>#REF!</v>
      </c>
    </row>
    <row r="55" spans="1:14" s="5" customFormat="1" ht="13.5" customHeight="1">
      <c r="A55" s="36">
        <v>44980</v>
      </c>
      <c r="B55" s="289" t="s">
        <v>250</v>
      </c>
      <c r="C55" s="35"/>
      <c r="D55" s="290">
        <v>8</v>
      </c>
      <c r="E55" s="33" t="s">
        <v>582</v>
      </c>
      <c r="F55" s="35"/>
      <c r="G55" s="103"/>
      <c r="H55" s="38"/>
      <c r="I55" s="275">
        <v>3.6</v>
      </c>
      <c r="J55" s="54">
        <f>I55/'통장내역(환율표)'!$D$79</f>
        <v>0.52806054585082307</v>
      </c>
      <c r="K55" s="271">
        <f t="shared" si="5"/>
        <v>92797.81867047392</v>
      </c>
      <c r="L55" s="38">
        <f t="shared" si="6"/>
        <v>13611.962421209915</v>
      </c>
      <c r="M55" s="34"/>
      <c r="N55" s="45" t="e">
        <f t="shared" si="4"/>
        <v>#REF!</v>
      </c>
    </row>
    <row r="56" spans="1:14" s="5" customFormat="1" ht="13.5" customHeight="1">
      <c r="A56" s="36">
        <v>44980</v>
      </c>
      <c r="B56" s="289" t="s">
        <v>556</v>
      </c>
      <c r="C56" s="35"/>
      <c r="D56" s="291">
        <v>9</v>
      </c>
      <c r="E56" s="33" t="s">
        <v>325</v>
      </c>
      <c r="F56" s="35" t="s">
        <v>527</v>
      </c>
      <c r="G56" s="103"/>
      <c r="H56" s="38"/>
      <c r="I56" s="275">
        <v>2678</v>
      </c>
      <c r="J56" s="54">
        <f>I56/'통장내역(환율표)'!$D$79</f>
        <v>392.8183727190289</v>
      </c>
      <c r="K56" s="271">
        <f t="shared" si="5"/>
        <v>90119.81867047392</v>
      </c>
      <c r="L56" s="38">
        <f t="shared" si="6"/>
        <v>13219.144048490887</v>
      </c>
      <c r="M56" s="34" t="s">
        <v>542</v>
      </c>
      <c r="N56" s="45" t="e">
        <f t="shared" si="4"/>
        <v>#REF!</v>
      </c>
    </row>
    <row r="57" spans="1:14" s="5" customFormat="1" ht="13.5" customHeight="1">
      <c r="A57" s="36">
        <v>44980</v>
      </c>
      <c r="B57" s="289" t="s">
        <v>250</v>
      </c>
      <c r="C57" s="35"/>
      <c r="D57" s="291">
        <v>9</v>
      </c>
      <c r="E57" s="33" t="s">
        <v>582</v>
      </c>
      <c r="F57" s="35"/>
      <c r="G57" s="103"/>
      <c r="H57" s="38"/>
      <c r="I57" s="275">
        <v>3.6</v>
      </c>
      <c r="J57" s="54">
        <f>I57/'통장내역(환율표)'!$D$79</f>
        <v>0.52806054585082307</v>
      </c>
      <c r="K57" s="271">
        <f t="shared" si="5"/>
        <v>90116.218670473914</v>
      </c>
      <c r="L57" s="38">
        <f t="shared" si="6"/>
        <v>13218.615987945037</v>
      </c>
      <c r="M57" s="34"/>
      <c r="N57" s="45" t="e">
        <f t="shared" si="4"/>
        <v>#REF!</v>
      </c>
    </row>
    <row r="58" spans="1:14" s="5" customFormat="1" ht="13.5" customHeight="1">
      <c r="A58" s="36">
        <v>44980</v>
      </c>
      <c r="B58" s="289" t="s">
        <v>557</v>
      </c>
      <c r="C58" s="35"/>
      <c r="D58" s="291">
        <v>10</v>
      </c>
      <c r="E58" s="33" t="s">
        <v>325</v>
      </c>
      <c r="F58" s="35" t="s">
        <v>527</v>
      </c>
      <c r="G58" s="103"/>
      <c r="H58" s="38"/>
      <c r="I58" s="275">
        <v>1941.8</v>
      </c>
      <c r="J58" s="54">
        <f>I58/'통장내역(환율표)'!$D$79</f>
        <v>284.82999109253558</v>
      </c>
      <c r="K58" s="271">
        <f t="shared" si="5"/>
        <v>88174.418670473911</v>
      </c>
      <c r="L58" s="38">
        <f t="shared" si="6"/>
        <v>12933.785996852501</v>
      </c>
      <c r="M58" s="34" t="s">
        <v>543</v>
      </c>
      <c r="N58" s="45" t="e">
        <f t="shared" si="4"/>
        <v>#REF!</v>
      </c>
    </row>
    <row r="59" spans="1:14" s="5" customFormat="1" ht="13.5" customHeight="1">
      <c r="A59" s="36">
        <v>44980</v>
      </c>
      <c r="B59" s="289" t="s">
        <v>250</v>
      </c>
      <c r="C59" s="35"/>
      <c r="D59" s="291">
        <v>10</v>
      </c>
      <c r="E59" s="33" t="s">
        <v>582</v>
      </c>
      <c r="F59" s="35"/>
      <c r="G59" s="103"/>
      <c r="H59" s="38"/>
      <c r="I59" s="275">
        <v>3.6</v>
      </c>
      <c r="J59" s="54">
        <f>I59/'통장내역(환율표)'!$D$79</f>
        <v>0.52806054585082307</v>
      </c>
      <c r="K59" s="271">
        <f t="shared" si="5"/>
        <v>88170.818670473906</v>
      </c>
      <c r="L59" s="38">
        <f t="shared" si="6"/>
        <v>12933.257936306651</v>
      </c>
      <c r="M59" s="34"/>
      <c r="N59" s="45" t="e">
        <f t="shared" si="4"/>
        <v>#REF!</v>
      </c>
    </row>
    <row r="60" spans="1:14" s="5" customFormat="1" ht="13.5" customHeight="1">
      <c r="A60" s="36">
        <v>44980</v>
      </c>
      <c r="B60" s="289" t="s">
        <v>558</v>
      </c>
      <c r="C60" s="35"/>
      <c r="D60" s="291">
        <v>11</v>
      </c>
      <c r="E60" s="33" t="s">
        <v>582</v>
      </c>
      <c r="F60" s="35"/>
      <c r="G60" s="103"/>
      <c r="H60" s="38"/>
      <c r="I60" s="275">
        <v>7222</v>
      </c>
      <c r="J60" s="54">
        <f>I60/'통장내역(환율표)'!$D$79</f>
        <v>1059.3481283707345</v>
      </c>
      <c r="K60" s="271">
        <f t="shared" si="5"/>
        <v>80948.818670473906</v>
      </c>
      <c r="L60" s="38">
        <f t="shared" si="6"/>
        <v>11873.909807935916</v>
      </c>
      <c r="M60" s="34" t="s">
        <v>544</v>
      </c>
      <c r="N60" s="45" t="e">
        <f t="shared" si="4"/>
        <v>#REF!</v>
      </c>
    </row>
    <row r="61" spans="1:14" s="5" customFormat="1" ht="13.5" customHeight="1">
      <c r="A61" s="36">
        <v>44980</v>
      </c>
      <c r="B61" s="289" t="s">
        <v>250</v>
      </c>
      <c r="C61" s="35"/>
      <c r="D61" s="291">
        <v>11</v>
      </c>
      <c r="E61" s="33" t="s">
        <v>582</v>
      </c>
      <c r="F61" s="35"/>
      <c r="G61" s="103"/>
      <c r="H61" s="38"/>
      <c r="I61" s="275">
        <v>3.6</v>
      </c>
      <c r="J61" s="54">
        <f>I61/'통장내역(환율표)'!$D$79</f>
        <v>0.52806054585082307</v>
      </c>
      <c r="K61" s="271">
        <f t="shared" si="5"/>
        <v>80945.2186704739</v>
      </c>
      <c r="L61" s="38">
        <f t="shared" si="6"/>
        <v>11873.381747390065</v>
      </c>
      <c r="M61" s="34"/>
      <c r="N61" s="45" t="e">
        <f t="shared" si="4"/>
        <v>#REF!</v>
      </c>
    </row>
    <row r="62" spans="1:14" s="5" customFormat="1" ht="13.5" customHeight="1">
      <c r="A62" s="36">
        <v>44980</v>
      </c>
      <c r="B62" s="289" t="s">
        <v>559</v>
      </c>
      <c r="C62" s="35"/>
      <c r="D62" s="291">
        <v>12</v>
      </c>
      <c r="E62" s="33" t="s">
        <v>325</v>
      </c>
      <c r="F62" s="35" t="s">
        <v>527</v>
      </c>
      <c r="G62" s="103"/>
      <c r="H62" s="38"/>
      <c r="I62" s="275">
        <v>4651.8</v>
      </c>
      <c r="J62" s="54">
        <f>I62/'통장내역(환율표)'!$D$79</f>
        <v>682.34223533023851</v>
      </c>
      <c r="K62" s="271">
        <f t="shared" si="5"/>
        <v>76293.418670473897</v>
      </c>
      <c r="L62" s="38">
        <f t="shared" si="6"/>
        <v>11191.039512059826</v>
      </c>
      <c r="M62" s="34" t="s">
        <v>545</v>
      </c>
      <c r="N62" s="45" t="e">
        <f t="shared" si="4"/>
        <v>#REF!</v>
      </c>
    </row>
    <row r="63" spans="1:14" s="5" customFormat="1" ht="13.5" customHeight="1">
      <c r="A63" s="36">
        <v>44980</v>
      </c>
      <c r="B63" s="289" t="s">
        <v>250</v>
      </c>
      <c r="C63" s="35"/>
      <c r="D63" s="291">
        <v>12</v>
      </c>
      <c r="E63" s="33" t="s">
        <v>582</v>
      </c>
      <c r="F63" s="35"/>
      <c r="G63" s="103"/>
      <c r="H63" s="38"/>
      <c r="I63" s="275">
        <v>3.6</v>
      </c>
      <c r="J63" s="54">
        <f>I63/'통장내역(환율표)'!$D$79</f>
        <v>0.52806054585082307</v>
      </c>
      <c r="K63" s="271">
        <f t="shared" si="5"/>
        <v>76289.818670473891</v>
      </c>
      <c r="L63" s="38">
        <f t="shared" si="6"/>
        <v>11190.511451513976</v>
      </c>
      <c r="M63" s="34"/>
      <c r="N63" s="45" t="e">
        <f t="shared" si="4"/>
        <v>#REF!</v>
      </c>
    </row>
    <row r="64" spans="1:14" s="5" customFormat="1" ht="13.5" customHeight="1">
      <c r="A64" s="36">
        <v>44980</v>
      </c>
      <c r="B64" s="289" t="s">
        <v>575</v>
      </c>
      <c r="C64" s="35"/>
      <c r="D64" s="291">
        <v>13</v>
      </c>
      <c r="E64" s="33" t="s">
        <v>582</v>
      </c>
      <c r="F64" s="35"/>
      <c r="G64" s="103"/>
      <c r="H64" s="38"/>
      <c r="I64" s="275">
        <v>236.8</v>
      </c>
      <c r="J64" s="54">
        <f>I64/'통장내역(환율표)'!$D$79</f>
        <v>34.734649238187473</v>
      </c>
      <c r="K64" s="271">
        <f t="shared" si="5"/>
        <v>76053.018670473888</v>
      </c>
      <c r="L64" s="38">
        <f t="shared" si="6"/>
        <v>11155.776802275788</v>
      </c>
      <c r="M64" s="34"/>
      <c r="N64" s="45" t="e">
        <f t="shared" si="4"/>
        <v>#REF!</v>
      </c>
    </row>
    <row r="65" spans="1:14" s="5" customFormat="1" ht="13.5" customHeight="1">
      <c r="A65" s="36">
        <v>44980</v>
      </c>
      <c r="B65" s="289" t="s">
        <v>578</v>
      </c>
      <c r="C65" s="35"/>
      <c r="D65" s="291">
        <v>13</v>
      </c>
      <c r="E65" s="33" t="s">
        <v>582</v>
      </c>
      <c r="F65" s="35"/>
      <c r="G65" s="103"/>
      <c r="H65" s="38"/>
      <c r="I65" s="275">
        <v>300</v>
      </c>
      <c r="J65" s="54">
        <f>I65/'통장내역(환율표)'!$D$79</f>
        <v>44.005045487568587</v>
      </c>
      <c r="K65" s="271">
        <f t="shared" si="5"/>
        <v>75753.018670473888</v>
      </c>
      <c r="L65" s="38">
        <f t="shared" si="6"/>
        <v>11111.771756788219</v>
      </c>
      <c r="M65" s="34"/>
      <c r="N65" s="45" t="e">
        <f t="shared" si="4"/>
        <v>#REF!</v>
      </c>
    </row>
    <row r="66" spans="1:14" s="5" customFormat="1" ht="13.5" customHeight="1">
      <c r="A66" s="36">
        <v>44980</v>
      </c>
      <c r="B66" s="289" t="s">
        <v>579</v>
      </c>
      <c r="C66" s="35"/>
      <c r="D66" s="291">
        <v>13</v>
      </c>
      <c r="E66" s="33" t="s">
        <v>582</v>
      </c>
      <c r="F66" s="35"/>
      <c r="G66" s="103"/>
      <c r="H66" s="38"/>
      <c r="I66" s="275">
        <v>120</v>
      </c>
      <c r="J66" s="54">
        <f>I66/'통장내역(환율표)'!$D$79</f>
        <v>17.602018195027433</v>
      </c>
      <c r="K66" s="271">
        <f t="shared" si="5"/>
        <v>75633.018670473888</v>
      </c>
      <c r="L66" s="38">
        <f t="shared" si="6"/>
        <v>11094.169738593191</v>
      </c>
      <c r="M66" s="34"/>
      <c r="N66" s="45" t="e">
        <f t="shared" si="4"/>
        <v>#REF!</v>
      </c>
    </row>
    <row r="67" spans="1:14" s="5" customFormat="1" ht="13.5" customHeight="1">
      <c r="A67" s="36">
        <v>44980</v>
      </c>
      <c r="B67" s="289" t="s">
        <v>250</v>
      </c>
      <c r="C67" s="35"/>
      <c r="D67" s="291">
        <v>13</v>
      </c>
      <c r="E67" s="33" t="s">
        <v>582</v>
      </c>
      <c r="F67" s="35"/>
      <c r="G67" s="103"/>
      <c r="H67" s="38"/>
      <c r="I67" s="275">
        <v>3.6</v>
      </c>
      <c r="J67" s="54">
        <f>I67/'통장내역(환율표)'!$D$79</f>
        <v>0.52806054585082307</v>
      </c>
      <c r="K67" s="271">
        <f t="shared" si="5"/>
        <v>75629.418670473882</v>
      </c>
      <c r="L67" s="38">
        <f t="shared" si="6"/>
        <v>11093.641678047341</v>
      </c>
      <c r="M67" s="34"/>
      <c r="N67" s="45" t="e">
        <f t="shared" si="4"/>
        <v>#REF!</v>
      </c>
    </row>
    <row r="68" spans="1:14" s="5" customFormat="1" ht="13.5" customHeight="1">
      <c r="A68" s="36">
        <v>44980</v>
      </c>
      <c r="B68" s="289" t="s">
        <v>560</v>
      </c>
      <c r="C68" s="35"/>
      <c r="D68" s="290">
        <v>14</v>
      </c>
      <c r="E68" s="33" t="s">
        <v>201</v>
      </c>
      <c r="F68" s="35" t="s">
        <v>444</v>
      </c>
      <c r="G68" s="103"/>
      <c r="H68" s="38"/>
      <c r="I68" s="275">
        <v>499</v>
      </c>
      <c r="J68" s="54">
        <f>I68/'통장내역(환율표)'!$D$79</f>
        <v>73.195058994322423</v>
      </c>
      <c r="K68" s="271">
        <f t="shared" si="5"/>
        <v>75130.418670473882</v>
      </c>
      <c r="L68" s="38">
        <f t="shared" si="6"/>
        <v>11020.446619053018</v>
      </c>
      <c r="M68" s="34" t="s">
        <v>546</v>
      </c>
      <c r="N68" s="45" t="e">
        <f t="shared" si="4"/>
        <v>#REF!</v>
      </c>
    </row>
    <row r="69" spans="1:14" s="5" customFormat="1" ht="13.5" customHeight="1">
      <c r="A69" s="36">
        <v>44980</v>
      </c>
      <c r="B69" s="289" t="s">
        <v>250</v>
      </c>
      <c r="C69" s="35"/>
      <c r="D69" s="290">
        <v>14</v>
      </c>
      <c r="E69" s="33" t="s">
        <v>582</v>
      </c>
      <c r="F69" s="35"/>
      <c r="G69" s="103"/>
      <c r="H69" s="38"/>
      <c r="I69" s="275">
        <v>3.6</v>
      </c>
      <c r="J69" s="54">
        <f>I69/'통장내역(환율표)'!$D$79</f>
        <v>0.52806054585082307</v>
      </c>
      <c r="K69" s="271">
        <f t="shared" si="5"/>
        <v>75126.818670473876</v>
      </c>
      <c r="L69" s="38">
        <f t="shared" si="6"/>
        <v>11019.918558507168</v>
      </c>
      <c r="M69" s="34"/>
      <c r="N69" s="45" t="e">
        <f t="shared" si="4"/>
        <v>#REF!</v>
      </c>
    </row>
    <row r="70" spans="1:14" s="5" customFormat="1" ht="13.5" customHeight="1">
      <c r="A70" s="36">
        <v>44980</v>
      </c>
      <c r="B70" s="289" t="s">
        <v>561</v>
      </c>
      <c r="C70" s="35"/>
      <c r="D70" s="33">
        <v>15</v>
      </c>
      <c r="E70" s="33" t="s">
        <v>325</v>
      </c>
      <c r="F70" s="35" t="s">
        <v>527</v>
      </c>
      <c r="G70" s="103"/>
      <c r="H70" s="38"/>
      <c r="I70" s="275">
        <v>298.27</v>
      </c>
      <c r="J70" s="54">
        <f>I70/'통장내역(환율표)'!$D$79</f>
        <v>43.751283058590275</v>
      </c>
      <c r="K70" s="271">
        <f t="shared" si="5"/>
        <v>74828.548670473872</v>
      </c>
      <c r="L70" s="38">
        <f t="shared" si="6"/>
        <v>10976.167275448577</v>
      </c>
      <c r="M70" s="34" t="s">
        <v>547</v>
      </c>
      <c r="N70" s="45" t="e">
        <f t="shared" si="4"/>
        <v>#REF!</v>
      </c>
    </row>
    <row r="71" spans="1:14" s="5" customFormat="1" ht="13.5" customHeight="1">
      <c r="A71" s="36">
        <v>44980</v>
      </c>
      <c r="B71" s="289" t="s">
        <v>250</v>
      </c>
      <c r="C71" s="35"/>
      <c r="D71" s="33">
        <v>15</v>
      </c>
      <c r="E71" s="33" t="s">
        <v>582</v>
      </c>
      <c r="F71" s="35"/>
      <c r="G71" s="103"/>
      <c r="H71" s="38"/>
      <c r="I71" s="275">
        <v>3.6</v>
      </c>
      <c r="J71" s="54">
        <f>I71/'통장내역(환율표)'!$D$79</f>
        <v>0.52806054585082307</v>
      </c>
      <c r="K71" s="271">
        <f t="shared" si="5"/>
        <v>74824.948670473867</v>
      </c>
      <c r="L71" s="38">
        <f t="shared" si="6"/>
        <v>10975.639214902727</v>
      </c>
      <c r="M71" s="34"/>
      <c r="N71" s="45" t="e">
        <f t="shared" si="4"/>
        <v>#REF!</v>
      </c>
    </row>
    <row r="72" spans="1:14" s="5" customFormat="1" ht="13.5" customHeight="1">
      <c r="A72" s="36">
        <v>44980</v>
      </c>
      <c r="B72" s="289" t="s">
        <v>562</v>
      </c>
      <c r="C72" s="35"/>
      <c r="D72" s="33">
        <v>16</v>
      </c>
      <c r="E72" s="33" t="s">
        <v>580</v>
      </c>
      <c r="F72" s="35" t="s">
        <v>581</v>
      </c>
      <c r="G72" s="103"/>
      <c r="H72" s="38"/>
      <c r="I72" s="275">
        <v>18000</v>
      </c>
      <c r="J72" s="54">
        <f>I72/'통장내역(환율표)'!$D$79</f>
        <v>2640.3027292541151</v>
      </c>
      <c r="K72" s="271">
        <f t="shared" si="5"/>
        <v>56824.948670473867</v>
      </c>
      <c r="L72" s="38">
        <f t="shared" si="6"/>
        <v>8335.3364856486114</v>
      </c>
      <c r="M72" s="34" t="s">
        <v>548</v>
      </c>
      <c r="N72" s="45" t="e">
        <f t="shared" si="4"/>
        <v>#REF!</v>
      </c>
    </row>
    <row r="73" spans="1:14" s="5" customFormat="1" ht="13.5" customHeight="1">
      <c r="A73" s="36">
        <v>44980</v>
      </c>
      <c r="B73" s="289" t="s">
        <v>250</v>
      </c>
      <c r="C73" s="35"/>
      <c r="D73" s="33">
        <v>16</v>
      </c>
      <c r="E73" s="33" t="s">
        <v>582</v>
      </c>
      <c r="F73" s="35"/>
      <c r="G73" s="103"/>
      <c r="H73" s="38"/>
      <c r="I73" s="275">
        <v>7.2</v>
      </c>
      <c r="J73" s="54">
        <f>I73/'통장내역(환율표)'!$D$79</f>
        <v>1.0561210917016461</v>
      </c>
      <c r="K73" s="271">
        <f t="shared" si="5"/>
        <v>56817.748670473869</v>
      </c>
      <c r="L73" s="38">
        <f t="shared" si="6"/>
        <v>8334.2803645569093</v>
      </c>
      <c r="M73" s="34"/>
      <c r="N73" s="45" t="e">
        <f t="shared" si="4"/>
        <v>#REF!</v>
      </c>
    </row>
    <row r="74" spans="1:14" s="5" customFormat="1" ht="13.5" customHeight="1">
      <c r="A74" s="36">
        <v>44980</v>
      </c>
      <c r="B74" s="289" t="s">
        <v>563</v>
      </c>
      <c r="C74" s="35"/>
      <c r="D74" s="33">
        <v>17</v>
      </c>
      <c r="E74" s="33" t="s">
        <v>580</v>
      </c>
      <c r="F74" s="35" t="s">
        <v>581</v>
      </c>
      <c r="G74" s="103"/>
      <c r="H74" s="38"/>
      <c r="I74" s="275">
        <v>4556</v>
      </c>
      <c r="J74" s="54">
        <f>I74/'통장내역(환율표)'!$D$79</f>
        <v>668.28995747120825</v>
      </c>
      <c r="K74" s="271">
        <f t="shared" si="5"/>
        <v>52261.748670473869</v>
      </c>
      <c r="L74" s="38">
        <f t="shared" si="6"/>
        <v>7665.990407085701</v>
      </c>
      <c r="M74" s="34" t="s">
        <v>549</v>
      </c>
      <c r="N74" s="45" t="e">
        <f t="shared" si="4"/>
        <v>#REF!</v>
      </c>
    </row>
    <row r="75" spans="1:14" s="5" customFormat="1" ht="13.5" customHeight="1">
      <c r="A75" s="36">
        <v>44980</v>
      </c>
      <c r="B75" s="289" t="s">
        <v>250</v>
      </c>
      <c r="C75" s="35"/>
      <c r="D75" s="33">
        <v>17</v>
      </c>
      <c r="E75" s="33" t="s">
        <v>582</v>
      </c>
      <c r="F75" s="35"/>
      <c r="G75" s="103"/>
      <c r="H75" s="38"/>
      <c r="I75" s="275">
        <v>3.6</v>
      </c>
      <c r="J75" s="54">
        <f>I75/'통장내역(환율표)'!$D$79</f>
        <v>0.52806054585082307</v>
      </c>
      <c r="K75" s="271">
        <f t="shared" si="5"/>
        <v>52258.148670473871</v>
      </c>
      <c r="L75" s="38">
        <f t="shared" si="6"/>
        <v>7665.4623465398499</v>
      </c>
      <c r="M75" s="34"/>
      <c r="N75" s="45" t="e">
        <f t="shared" si="4"/>
        <v>#REF!</v>
      </c>
    </row>
    <row r="76" spans="1:14" s="5" customFormat="1" ht="13.5" customHeight="1">
      <c r="A76" s="36">
        <v>44980</v>
      </c>
      <c r="B76" s="289" t="s">
        <v>564</v>
      </c>
      <c r="C76" s="35"/>
      <c r="D76" s="33">
        <v>18</v>
      </c>
      <c r="E76" s="33" t="s">
        <v>582</v>
      </c>
      <c r="F76" s="35"/>
      <c r="G76" s="103"/>
      <c r="H76" s="38"/>
      <c r="I76" s="275">
        <v>387</v>
      </c>
      <c r="J76" s="54">
        <f>I76/'통장내역(환율표)'!$D$79</f>
        <v>56.766508678963476</v>
      </c>
      <c r="K76" s="271">
        <f t="shared" si="5"/>
        <v>51871.148670473871</v>
      </c>
      <c r="L76" s="38">
        <f t="shared" si="6"/>
        <v>7608.6958378608861</v>
      </c>
      <c r="M76" s="34" t="s">
        <v>550</v>
      </c>
      <c r="N76" s="45" t="e">
        <f t="shared" si="4"/>
        <v>#REF!</v>
      </c>
    </row>
    <row r="77" spans="1:14" s="5" customFormat="1" ht="13.5" customHeight="1">
      <c r="A77" s="36">
        <v>44980</v>
      </c>
      <c r="B77" s="289" t="s">
        <v>250</v>
      </c>
      <c r="C77" s="35"/>
      <c r="D77" s="33">
        <v>18</v>
      </c>
      <c r="E77" s="33" t="s">
        <v>582</v>
      </c>
      <c r="F77" s="35"/>
      <c r="G77" s="103"/>
      <c r="H77" s="38"/>
      <c r="I77" s="275">
        <v>3.6</v>
      </c>
      <c r="J77" s="54">
        <f>I77/'통장내역(환율표)'!$D$79</f>
        <v>0.52806054585082307</v>
      </c>
      <c r="K77" s="271">
        <f t="shared" si="5"/>
        <v>51867.548670473872</v>
      </c>
      <c r="L77" s="38">
        <f t="shared" si="6"/>
        <v>7608.167777315035</v>
      </c>
      <c r="M77" s="34"/>
      <c r="N77" s="45" t="e">
        <f t="shared" si="4"/>
        <v>#REF!</v>
      </c>
    </row>
    <row r="78" spans="1:14" s="5" customFormat="1" ht="13.5" customHeight="1">
      <c r="A78" s="36">
        <v>44980</v>
      </c>
      <c r="B78" s="289" t="s">
        <v>565</v>
      </c>
      <c r="C78" s="35"/>
      <c r="D78" s="33">
        <v>19</v>
      </c>
      <c r="E78" s="33" t="s">
        <v>583</v>
      </c>
      <c r="F78" s="35"/>
      <c r="G78" s="103"/>
      <c r="H78" s="38"/>
      <c r="I78" s="275">
        <v>6800</v>
      </c>
      <c r="J78" s="54">
        <f>I78/'통장내역(환율표)'!$D$79</f>
        <v>997.44769771822132</v>
      </c>
      <c r="K78" s="271">
        <f t="shared" si="5"/>
        <v>45067.548670473872</v>
      </c>
      <c r="L78" s="38">
        <f t="shared" si="6"/>
        <v>6610.7200795968138</v>
      </c>
      <c r="M78" s="34" t="s">
        <v>607</v>
      </c>
      <c r="N78" s="45" t="e">
        <f t="shared" si="4"/>
        <v>#REF!</v>
      </c>
    </row>
    <row r="79" spans="1:14" s="5" customFormat="1" ht="13.5" customHeight="1">
      <c r="A79" s="36">
        <v>44980</v>
      </c>
      <c r="B79" s="289" t="s">
        <v>250</v>
      </c>
      <c r="C79" s="35"/>
      <c r="D79" s="33">
        <v>19</v>
      </c>
      <c r="E79" s="33" t="s">
        <v>582</v>
      </c>
      <c r="F79" s="35"/>
      <c r="G79" s="103"/>
      <c r="H79" s="38"/>
      <c r="I79" s="275">
        <v>3.6</v>
      </c>
      <c r="J79" s="54">
        <f>I79/'통장내역(환율표)'!$D$79</f>
        <v>0.52806054585082307</v>
      </c>
      <c r="K79" s="271">
        <f t="shared" si="5"/>
        <v>45063.948670473874</v>
      </c>
      <c r="L79" s="38">
        <f t="shared" si="6"/>
        <v>6610.1920190509627</v>
      </c>
      <c r="M79" s="34"/>
      <c r="N79" s="45" t="e">
        <f>N78-J79+H79</f>
        <v>#REF!</v>
      </c>
    </row>
    <row r="80" spans="1:14" s="5" customFormat="1" ht="13.5" customHeight="1">
      <c r="A80" s="36">
        <v>44981</v>
      </c>
      <c r="B80" s="289" t="s">
        <v>566</v>
      </c>
      <c r="C80" s="35"/>
      <c r="D80" s="290">
        <v>20</v>
      </c>
      <c r="E80" s="33" t="s">
        <v>582</v>
      </c>
      <c r="F80" s="35"/>
      <c r="G80" s="103"/>
      <c r="H80" s="38"/>
      <c r="I80" s="275">
        <v>500</v>
      </c>
      <c r="J80" s="54">
        <f>I80/'통장내역(환율표)'!$D$79</f>
        <v>73.341742479280981</v>
      </c>
      <c r="K80" s="271">
        <f t="shared" si="5"/>
        <v>44563.948670473874</v>
      </c>
      <c r="L80" s="38">
        <f t="shared" si="6"/>
        <v>6536.8502765716821</v>
      </c>
      <c r="M80" s="34" t="s">
        <v>551</v>
      </c>
      <c r="N80" s="45" t="e">
        <f t="shared" si="4"/>
        <v>#REF!</v>
      </c>
    </row>
    <row r="81" spans="1:15" s="5" customFormat="1" ht="13.5" customHeight="1">
      <c r="A81" s="36">
        <v>44981</v>
      </c>
      <c r="B81" s="289" t="s">
        <v>250</v>
      </c>
      <c r="C81" s="35"/>
      <c r="D81" s="33">
        <v>20</v>
      </c>
      <c r="E81" s="33" t="s">
        <v>582</v>
      </c>
      <c r="F81" s="35"/>
      <c r="G81" s="103"/>
      <c r="H81" s="38"/>
      <c r="I81" s="275">
        <v>3.6</v>
      </c>
      <c r="J81" s="54">
        <f>I81/'통장내역(환율표)'!$D$79</f>
        <v>0.52806054585082307</v>
      </c>
      <c r="K81" s="271">
        <f t="shared" si="5"/>
        <v>44560.348670473875</v>
      </c>
      <c r="L81" s="38">
        <f t="shared" si="6"/>
        <v>6536.322216025831</v>
      </c>
      <c r="M81" s="34"/>
      <c r="N81" s="45" t="e">
        <f t="shared" si="4"/>
        <v>#REF!</v>
      </c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</sheetData>
  <autoFilter ref="A18:N151" xr:uid="{00000000-0009-0000-0000-00000D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O148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6.5"/>
  <cols>
    <col min="1" max="1" width="10.25" bestFit="1" customWidth="1"/>
    <col min="2" max="2" width="30.75" customWidth="1"/>
    <col min="3" max="3" width="11.625" customWidth="1"/>
    <col min="4" max="4" width="11.2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</cols>
  <sheetData>
    <row r="1" spans="1:14" ht="24">
      <c r="A1" s="1" t="s">
        <v>638</v>
      </c>
      <c r="B1" s="2"/>
      <c r="C1" s="2"/>
      <c r="D1" s="3"/>
      <c r="E1" s="318">
        <v>100013746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3.5">
      <c r="A2" s="130" t="s">
        <v>641</v>
      </c>
      <c r="B2" s="2"/>
      <c r="C2" s="2"/>
      <c r="E2" s="318">
        <v>100013742</v>
      </c>
      <c r="F2" s="130"/>
      <c r="G2" s="130" t="s">
        <v>640</v>
      </c>
      <c r="H2" s="127"/>
      <c r="I2" s="127"/>
      <c r="J2" s="130"/>
      <c r="K2" s="318">
        <v>100013747</v>
      </c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28814.6</v>
      </c>
      <c r="J5" s="116">
        <v>4177.6741249874294</v>
      </c>
      <c r="K5" s="117">
        <v>5513271</v>
      </c>
      <c r="L5" s="348">
        <f>K5/I5</f>
        <v>191.33602409889431</v>
      </c>
      <c r="M5" s="304"/>
    </row>
    <row r="6" spans="1:14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13634.57</v>
      </c>
      <c r="J6" s="116">
        <v>1976.8002759132005</v>
      </c>
      <c r="K6" s="117">
        <v>2608783</v>
      </c>
      <c r="L6" s="248">
        <f>K6+E6</f>
        <v>2608783</v>
      </c>
    </row>
    <row r="7" spans="1:14" s="5" customFormat="1" ht="13.5">
      <c r="A7" s="114" t="s">
        <v>75</v>
      </c>
      <c r="B7" s="115" t="s">
        <v>16</v>
      </c>
      <c r="C7" s="116">
        <v>13744.143453392748</v>
      </c>
      <c r="D7" s="116">
        <v>2016.0388595140528</v>
      </c>
      <c r="E7" s="117">
        <v>2546460</v>
      </c>
      <c r="F7" s="121">
        <v>51201020</v>
      </c>
      <c r="G7" s="114" t="s">
        <v>75</v>
      </c>
      <c r="H7" s="115" t="s">
        <v>16</v>
      </c>
      <c r="I7" s="116">
        <v>5695.8565466072523</v>
      </c>
      <c r="J7" s="116">
        <v>825.81165500827274</v>
      </c>
      <c r="K7" s="117">
        <v>1089821</v>
      </c>
      <c r="L7" s="248">
        <f>K7+E7</f>
        <v>3636281</v>
      </c>
    </row>
    <row r="8" spans="1:14" s="5" customFormat="1" ht="13.5">
      <c r="A8" s="114" t="s">
        <v>75</v>
      </c>
      <c r="B8" s="114" t="s">
        <v>17</v>
      </c>
      <c r="C8" s="116">
        <v>10500</v>
      </c>
      <c r="D8" s="116">
        <v>1540.1765920649007</v>
      </c>
      <c r="E8" s="117">
        <v>1945401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>K8+E8</f>
        <v>1945401</v>
      </c>
    </row>
    <row r="9" spans="1:14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1593</v>
      </c>
      <c r="J9" s="116">
        <v>230.96051588795177</v>
      </c>
      <c r="K9" s="117">
        <v>304798</v>
      </c>
      <c r="L9" s="248">
        <f>K9+E9</f>
        <v>304798</v>
      </c>
    </row>
    <row r="10" spans="1:14" s="5" customFormat="1" ht="13.5">
      <c r="A10" s="114" t="s">
        <v>62</v>
      </c>
      <c r="B10" s="115"/>
      <c r="C10" s="116">
        <v>7805.2</v>
      </c>
      <c r="D10" s="116">
        <v>1144.8939367985679</v>
      </c>
      <c r="E10" s="117">
        <v>1446111</v>
      </c>
      <c r="F10" s="121">
        <v>51321010</v>
      </c>
      <c r="G10" s="114" t="s">
        <v>62</v>
      </c>
      <c r="H10" s="115"/>
      <c r="I10" s="116">
        <v>132486.06000000006</v>
      </c>
      <c r="J10" s="116">
        <v>19234.442414037767</v>
      </c>
      <c r="K10" s="117">
        <v>25383690</v>
      </c>
      <c r="L10" s="248">
        <f>K10+E10</f>
        <v>26829801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>
        <v>40000</v>
      </c>
      <c r="J11" s="116">
        <v>5799.3852074815259</v>
      </c>
      <c r="K11" s="117">
        <v>7653455</v>
      </c>
      <c r="L11" s="119"/>
    </row>
    <row r="12" spans="1:14" s="5" customFormat="1" ht="13.5">
      <c r="A12" s="1493" t="s">
        <v>299</v>
      </c>
      <c r="B12" s="1494"/>
      <c r="C12" s="124">
        <f>SUM(C4:C11)</f>
        <v>32049.343453392747</v>
      </c>
      <c r="D12" s="124">
        <f>SUM(D4:D11)</f>
        <v>4701.1093883775211</v>
      </c>
      <c r="E12" s="125">
        <f>SUM(E4:E11)</f>
        <v>5937972</v>
      </c>
      <c r="F12" s="121">
        <v>52981010</v>
      </c>
      <c r="G12" s="1493" t="s">
        <v>299</v>
      </c>
      <c r="H12" s="1494"/>
      <c r="I12" s="124">
        <f>SUM(I4:I11)</f>
        <v>222224.08654660732</v>
      </c>
      <c r="J12" s="124">
        <f>SUM(J4:J11)</f>
        <v>32245.074193316148</v>
      </c>
      <c r="K12" s="125">
        <f>SUM(K4:K11)</f>
        <v>42553818</v>
      </c>
      <c r="L12" s="119"/>
    </row>
    <row r="13" spans="1:14" s="5" customFormat="1" ht="13.5">
      <c r="A13" s="126"/>
      <c r="B13" s="315"/>
      <c r="C13" s="316">
        <f>C12+I12</f>
        <v>254273.43000000005</v>
      </c>
      <c r="D13" s="316">
        <f>D12+J12</f>
        <v>36946.183581693665</v>
      </c>
      <c r="E13" s="317">
        <f>E12+K12</f>
        <v>48491790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.5">
      <c r="A14" s="126" t="s">
        <v>592</v>
      </c>
      <c r="B14" s="315"/>
      <c r="C14" s="316">
        <v>12600</v>
      </c>
      <c r="D14" s="316">
        <f>C14/'통장내역(환율표)'!$D$79</f>
        <v>1848.2119104778806</v>
      </c>
      <c r="E14" s="317">
        <v>2334474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.5">
      <c r="A15" s="126"/>
      <c r="B15" s="315"/>
      <c r="C15" s="316">
        <f>SUM(C13:C14)</f>
        <v>266873.43000000005</v>
      </c>
      <c r="D15" s="316">
        <f>SUM(D13:D14)</f>
        <v>38794.395492171549</v>
      </c>
      <c r="G15" s="130"/>
      <c r="H15" s="130"/>
      <c r="I15" s="131"/>
      <c r="J15" s="130"/>
      <c r="K15" s="288"/>
      <c r="L15" s="253"/>
      <c r="N15" s="45">
        <f>N82</f>
        <v>2872.9178066838713</v>
      </c>
    </row>
    <row r="16" spans="1:14" s="5" customFormat="1" ht="13.5">
      <c r="B16" s="134">
        <v>13081010</v>
      </c>
      <c r="C16" s="135"/>
      <c r="D16" s="135"/>
      <c r="G16" s="6"/>
      <c r="H16" s="137">
        <f>SUBTOTAL(9,H19:H148)</f>
        <v>35130.987623602174</v>
      </c>
      <c r="I16" s="137">
        <f>SUBTOTAL(9,I19:I163)</f>
        <v>266873.43000000005</v>
      </c>
      <c r="J16" s="137">
        <f>SUBTOTAL(9,J19:J161)</f>
        <v>38794.393492171534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44985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44560.348670473875</v>
      </c>
      <c r="L19" s="241">
        <v>6536.322216025831</v>
      </c>
      <c r="M19" s="240"/>
      <c r="N19" s="45">
        <v>6536.3236752532221</v>
      </c>
    </row>
    <row r="20" spans="1:14" s="5" customFormat="1" ht="13.5" customHeight="1">
      <c r="A20" s="46">
        <v>44998</v>
      </c>
      <c r="B20" s="256" t="s">
        <v>606</v>
      </c>
      <c r="C20" s="257"/>
      <c r="D20" s="310"/>
      <c r="E20" s="47"/>
      <c r="F20" s="49"/>
      <c r="G20" s="54">
        <v>242039.38</v>
      </c>
      <c r="H20" s="50">
        <v>35117.99</v>
      </c>
      <c r="I20" s="302"/>
      <c r="J20" s="54"/>
      <c r="K20" s="303">
        <f t="shared" ref="K20:K49" si="0">K19+G20-I20</f>
        <v>286599.72867047391</v>
      </c>
      <c r="L20" s="50">
        <f t="shared" ref="L20:L49" si="1">L19+H20-J20</f>
        <v>41654.312216025828</v>
      </c>
      <c r="M20" s="52"/>
      <c r="N20" s="45"/>
    </row>
    <row r="21" spans="1:14" s="5" customFormat="1" ht="13.5" customHeight="1">
      <c r="A21" s="46">
        <v>44998</v>
      </c>
      <c r="B21" s="312" t="s">
        <v>445</v>
      </c>
      <c r="C21" s="257"/>
      <c r="D21" s="310">
        <v>1</v>
      </c>
      <c r="E21" s="47" t="s">
        <v>625</v>
      </c>
      <c r="F21" s="49"/>
      <c r="G21" s="54"/>
      <c r="H21" s="50"/>
      <c r="I21" s="302"/>
      <c r="J21" s="53">
        <v>26</v>
      </c>
      <c r="K21" s="303">
        <f t="shared" si="0"/>
        <v>286599.72867047391</v>
      </c>
      <c r="L21" s="50">
        <f t="shared" si="1"/>
        <v>41628.312216025828</v>
      </c>
      <c r="M21" s="52"/>
      <c r="N21" s="45"/>
    </row>
    <row r="22" spans="1:14" s="5" customFormat="1" ht="13.5" customHeight="1">
      <c r="A22" s="36">
        <v>44998</v>
      </c>
      <c r="B22" s="247" t="s">
        <v>250</v>
      </c>
      <c r="C22" s="313"/>
      <c r="D22" s="311">
        <v>2</v>
      </c>
      <c r="E22" s="36" t="s">
        <v>625</v>
      </c>
      <c r="F22" s="36"/>
      <c r="G22" s="38"/>
      <c r="H22" s="38"/>
      <c r="I22" s="38">
        <v>7.2</v>
      </c>
      <c r="J22" s="54">
        <f>I22/'통장내역(환율표)'!$D$79</f>
        <v>1.0561210917016461</v>
      </c>
      <c r="K22" s="271">
        <f t="shared" si="0"/>
        <v>286592.5286704739</v>
      </c>
      <c r="L22" s="38">
        <f t="shared" si="1"/>
        <v>41627.256094934128</v>
      </c>
      <c r="M22" s="36" t="s">
        <v>624</v>
      </c>
      <c r="N22" s="45">
        <f>N19-J22</f>
        <v>6535.2675541615208</v>
      </c>
    </row>
    <row r="23" spans="1:14" s="5" customFormat="1" ht="13.5" customHeight="1">
      <c r="A23" s="36">
        <v>45005</v>
      </c>
      <c r="B23" s="314" t="s">
        <v>597</v>
      </c>
      <c r="C23" s="313"/>
      <c r="D23" s="311">
        <v>3</v>
      </c>
      <c r="E23" s="36" t="s">
        <v>626</v>
      </c>
      <c r="F23" s="36"/>
      <c r="G23" s="38"/>
      <c r="H23" s="38"/>
      <c r="I23" s="38">
        <v>12600</v>
      </c>
      <c r="J23" s="54">
        <f>I23/'통장내역(환율표)'!$D$79</f>
        <v>1848.2119104778806</v>
      </c>
      <c r="K23" s="271">
        <f t="shared" si="0"/>
        <v>273992.5286704739</v>
      </c>
      <c r="L23" s="38">
        <f t="shared" si="1"/>
        <v>39779.044184456245</v>
      </c>
      <c r="M23" s="36" t="s">
        <v>647</v>
      </c>
      <c r="N23" s="45">
        <f>N22-J23</f>
        <v>4687.0556436836405</v>
      </c>
    </row>
    <row r="24" spans="1:14" s="5" customFormat="1" ht="13.5" customHeight="1">
      <c r="A24" s="36">
        <v>45005</v>
      </c>
      <c r="B24" s="314" t="s">
        <v>250</v>
      </c>
      <c r="C24" s="313"/>
      <c r="D24" s="311">
        <v>4</v>
      </c>
      <c r="E24" s="36" t="s">
        <v>625</v>
      </c>
      <c r="F24" s="36"/>
      <c r="G24" s="38"/>
      <c r="H24" s="38"/>
      <c r="I24" s="38">
        <v>7.2</v>
      </c>
      <c r="J24" s="54">
        <f>I24/'통장내역(환율표)'!$D$79</f>
        <v>1.0561210917016461</v>
      </c>
      <c r="K24" s="271">
        <f t="shared" si="0"/>
        <v>273985.32867047389</v>
      </c>
      <c r="L24" s="38">
        <f t="shared" si="1"/>
        <v>39777.988063364544</v>
      </c>
      <c r="M24" s="36"/>
      <c r="N24" s="45">
        <f>N23-J24</f>
        <v>4685.9995225919392</v>
      </c>
    </row>
    <row r="25" spans="1:14" s="5" customFormat="1" ht="13.5" customHeight="1">
      <c r="A25" s="36">
        <v>45006</v>
      </c>
      <c r="B25" s="314" t="s">
        <v>372</v>
      </c>
      <c r="C25" s="313"/>
      <c r="D25" s="311">
        <v>5</v>
      </c>
      <c r="E25" s="36" t="s">
        <v>608</v>
      </c>
      <c r="F25" s="36"/>
      <c r="G25" s="38">
        <v>88.61</v>
      </c>
      <c r="H25" s="38">
        <f>G25/'통장내역(환율표)'!$D$79</f>
        <v>12.997623602178175</v>
      </c>
      <c r="I25" s="38"/>
      <c r="J25" s="54">
        <f>I25/'통장내역(환율표)'!$D$79</f>
        <v>0</v>
      </c>
      <c r="K25" s="271">
        <f t="shared" si="0"/>
        <v>274073.93867047387</v>
      </c>
      <c r="L25" s="38">
        <f t="shared" si="1"/>
        <v>39790.98568696672</v>
      </c>
      <c r="M25" s="36"/>
      <c r="N25" s="45">
        <f>N24-J25+H25</f>
        <v>4698.9971461941177</v>
      </c>
    </row>
    <row r="26" spans="1:14" s="5" customFormat="1" ht="13.5" customHeight="1">
      <c r="A26" s="36">
        <v>45006</v>
      </c>
      <c r="B26" s="314" t="s">
        <v>306</v>
      </c>
      <c r="C26" s="313"/>
      <c r="D26" s="311">
        <v>6</v>
      </c>
      <c r="E26" s="36" t="s">
        <v>625</v>
      </c>
      <c r="F26" s="36"/>
      <c r="G26" s="38"/>
      <c r="H26" s="38"/>
      <c r="I26" s="38">
        <v>1030</v>
      </c>
      <c r="J26" s="54">
        <f>I26/'통장내역(환율표)'!$D$79</f>
        <v>151.08398950731882</v>
      </c>
      <c r="K26" s="271">
        <f t="shared" si="0"/>
        <v>273043.93867047387</v>
      </c>
      <c r="L26" s="38">
        <f t="shared" si="1"/>
        <v>39639.901697459398</v>
      </c>
      <c r="M26" s="36"/>
      <c r="N26" s="45">
        <f t="shared" ref="N26:N32" si="2">N25-J26</f>
        <v>4547.9131566867991</v>
      </c>
    </row>
    <row r="27" spans="1:14" s="5" customFormat="1" ht="13.5" customHeight="1">
      <c r="A27" s="36">
        <v>45006</v>
      </c>
      <c r="B27" s="314" t="s">
        <v>250</v>
      </c>
      <c r="C27" s="313"/>
      <c r="D27" s="311">
        <v>7</v>
      </c>
      <c r="E27" s="36" t="s">
        <v>625</v>
      </c>
      <c r="F27" s="36"/>
      <c r="G27" s="38"/>
      <c r="H27" s="38"/>
      <c r="I27" s="38">
        <v>3.6</v>
      </c>
      <c r="J27" s="54">
        <f>I27/'통장내역(환율표)'!$D$79</f>
        <v>0.52806054585082307</v>
      </c>
      <c r="K27" s="271">
        <f t="shared" si="0"/>
        <v>273040.3386704739</v>
      </c>
      <c r="L27" s="38">
        <f t="shared" si="1"/>
        <v>39639.373636913544</v>
      </c>
      <c r="M27" s="36"/>
      <c r="N27" s="45">
        <f t="shared" si="2"/>
        <v>4547.385096140948</v>
      </c>
    </row>
    <row r="28" spans="1:14" s="5" customFormat="1" ht="13.5" customHeight="1">
      <c r="A28" s="36">
        <v>45006</v>
      </c>
      <c r="B28" s="314" t="s">
        <v>346</v>
      </c>
      <c r="C28" s="313"/>
      <c r="D28" s="311">
        <v>8</v>
      </c>
      <c r="E28" s="36" t="s">
        <v>627</v>
      </c>
      <c r="F28" s="36" t="s">
        <v>628</v>
      </c>
      <c r="G28" s="38"/>
      <c r="H28" s="38"/>
      <c r="I28" s="275">
        <v>10500</v>
      </c>
      <c r="J28" s="54">
        <f>I28/'통장내역(환율표)'!$D$79</f>
        <v>1540.1765920649007</v>
      </c>
      <c r="K28" s="271">
        <f t="shared" si="0"/>
        <v>262540.3386704739</v>
      </c>
      <c r="L28" s="38">
        <f t="shared" si="1"/>
        <v>38099.197044848646</v>
      </c>
      <c r="M28" s="36"/>
      <c r="N28" s="45">
        <f t="shared" si="2"/>
        <v>3007.2085040760476</v>
      </c>
    </row>
    <row r="29" spans="1:14" s="5" customFormat="1" ht="13.5" customHeight="1">
      <c r="A29" s="36">
        <v>45006</v>
      </c>
      <c r="B29" s="247" t="s">
        <v>347</v>
      </c>
      <c r="C29" s="313"/>
      <c r="D29" s="311">
        <v>8</v>
      </c>
      <c r="E29" s="36" t="s">
        <v>625</v>
      </c>
      <c r="F29" s="36"/>
      <c r="G29" s="38"/>
      <c r="H29" s="38"/>
      <c r="I29" s="275">
        <v>6000</v>
      </c>
      <c r="J29" s="54">
        <f>I29/'통장내역(환율표)'!$D$79</f>
        <v>880.10090975137177</v>
      </c>
      <c r="K29" s="271">
        <f t="shared" si="0"/>
        <v>256540.3386704739</v>
      </c>
      <c r="L29" s="38">
        <f t="shared" si="1"/>
        <v>37219.096135097272</v>
      </c>
      <c r="M29" s="36"/>
      <c r="N29" s="45">
        <f t="shared" si="2"/>
        <v>2127.107594324676</v>
      </c>
    </row>
    <row r="30" spans="1:14" s="5" customFormat="1" ht="13.5" customHeight="1">
      <c r="A30" s="36">
        <v>45006</v>
      </c>
      <c r="B30" s="159" t="s">
        <v>609</v>
      </c>
      <c r="C30" s="313"/>
      <c r="D30" s="311">
        <v>9</v>
      </c>
      <c r="E30" s="36" t="s">
        <v>625</v>
      </c>
      <c r="F30" s="36"/>
      <c r="G30" s="38"/>
      <c r="H30" s="38"/>
      <c r="I30" s="38">
        <v>750</v>
      </c>
      <c r="J30" s="54">
        <f>I30/'통장내역(환율표)'!$D$79</f>
        <v>110.01261371892147</v>
      </c>
      <c r="K30" s="271">
        <f t="shared" si="0"/>
        <v>255790.3386704739</v>
      </c>
      <c r="L30" s="38">
        <f t="shared" si="1"/>
        <v>37109.08352137835</v>
      </c>
      <c r="M30" s="36"/>
      <c r="N30" s="45">
        <f t="shared" si="2"/>
        <v>2017.0949806057545</v>
      </c>
    </row>
    <row r="31" spans="1:14" s="5" customFormat="1" ht="13.5" customHeight="1">
      <c r="A31" s="36">
        <v>45006</v>
      </c>
      <c r="B31" s="247" t="s">
        <v>250</v>
      </c>
      <c r="C31" s="313"/>
      <c r="D31" s="311">
        <v>10</v>
      </c>
      <c r="E31" s="36" t="s">
        <v>625</v>
      </c>
      <c r="F31" s="36"/>
      <c r="G31" s="38"/>
      <c r="H31" s="38"/>
      <c r="I31" s="38">
        <v>7.2</v>
      </c>
      <c r="J31" s="54">
        <f>I31/'통장내역(환율표)'!$D$79</f>
        <v>1.0561210917016461</v>
      </c>
      <c r="K31" s="271">
        <f t="shared" si="0"/>
        <v>255783.13867047388</v>
      </c>
      <c r="L31" s="38">
        <f t="shared" si="1"/>
        <v>37108.02740028665</v>
      </c>
      <c r="M31" s="36"/>
      <c r="N31" s="45">
        <f t="shared" si="2"/>
        <v>2016.0388595140528</v>
      </c>
    </row>
    <row r="32" spans="1:14" s="5" customFormat="1" ht="13.5" customHeight="1">
      <c r="A32" s="36">
        <v>45006</v>
      </c>
      <c r="B32" s="314" t="s">
        <v>636</v>
      </c>
      <c r="C32" s="313"/>
      <c r="D32" s="311">
        <v>11</v>
      </c>
      <c r="E32" s="36" t="s">
        <v>627</v>
      </c>
      <c r="F32" s="36" t="s">
        <v>629</v>
      </c>
      <c r="G32" s="38"/>
      <c r="H32" s="38"/>
      <c r="I32" s="38">
        <f>J32*'통장내역(환율표)'!$D$79</f>
        <v>13744.143453392748</v>
      </c>
      <c r="J32" s="54">
        <v>2016.0388595140528</v>
      </c>
      <c r="K32" s="271">
        <f t="shared" si="0"/>
        <v>242038.99521708113</v>
      </c>
      <c r="L32" s="38">
        <f t="shared" si="1"/>
        <v>35091.988540772596</v>
      </c>
      <c r="M32" s="36" t="s">
        <v>610</v>
      </c>
      <c r="N32" s="45">
        <f t="shared" si="2"/>
        <v>0</v>
      </c>
    </row>
    <row r="33" spans="1:14" s="5" customFormat="1" ht="13.5" customHeight="1">
      <c r="A33" s="36">
        <v>45006</v>
      </c>
      <c r="B33" s="314" t="s">
        <v>637</v>
      </c>
      <c r="C33" s="313"/>
      <c r="D33" s="311">
        <v>11</v>
      </c>
      <c r="E33" s="36" t="s">
        <v>627</v>
      </c>
      <c r="F33" s="36" t="s">
        <v>629</v>
      </c>
      <c r="G33" s="38"/>
      <c r="H33" s="38"/>
      <c r="I33" s="38">
        <f>19440-I32</f>
        <v>5695.8565466072523</v>
      </c>
      <c r="J33" s="53">
        <f>I33/'통장내역(환율표)'!$D$85</f>
        <v>825.81165500827274</v>
      </c>
      <c r="K33" s="271">
        <f t="shared" si="0"/>
        <v>236343.13867047388</v>
      </c>
      <c r="L33" s="38">
        <f t="shared" si="1"/>
        <v>34266.176885764326</v>
      </c>
      <c r="M33" s="36"/>
      <c r="N33" s="45">
        <f>35091.99-J33</f>
        <v>34266.178344991727</v>
      </c>
    </row>
    <row r="34" spans="1:14" s="5" customFormat="1" ht="13.5" customHeight="1">
      <c r="A34" s="36">
        <v>45006</v>
      </c>
      <c r="B34" s="247" t="s">
        <v>250</v>
      </c>
      <c r="C34" s="313"/>
      <c r="D34" s="311">
        <v>12</v>
      </c>
      <c r="E34" s="36" t="s">
        <v>625</v>
      </c>
      <c r="F34" s="36"/>
      <c r="G34" s="38"/>
      <c r="H34" s="38"/>
      <c r="I34" s="38">
        <v>7.2</v>
      </c>
      <c r="J34" s="53">
        <f>I34/'통장내역(환율표)'!$D$85</f>
        <v>1.0438893373466747</v>
      </c>
      <c r="K34" s="271">
        <f t="shared" si="0"/>
        <v>236335.93867047387</v>
      </c>
      <c r="L34" s="38">
        <f t="shared" si="1"/>
        <v>34265.132996426975</v>
      </c>
      <c r="M34" s="36"/>
      <c r="N34" s="45">
        <f t="shared" ref="N34:N82" si="3">N33-J34</f>
        <v>34265.134455654377</v>
      </c>
    </row>
    <row r="35" spans="1:14" s="5" customFormat="1" ht="13.5" customHeight="1">
      <c r="A35" s="36">
        <v>45006</v>
      </c>
      <c r="B35" s="247" t="s">
        <v>478</v>
      </c>
      <c r="C35" s="313"/>
      <c r="D35" s="311">
        <v>13</v>
      </c>
      <c r="E35" s="36" t="s">
        <v>625</v>
      </c>
      <c r="F35" s="36"/>
      <c r="G35" s="38"/>
      <c r="H35" s="38"/>
      <c r="I35" s="38">
        <v>822.71</v>
      </c>
      <c r="J35" s="53">
        <f>I35/'통장내역(환율표)'!$D$85</f>
        <v>119.28030510117816</v>
      </c>
      <c r="K35" s="271">
        <f t="shared" si="0"/>
        <v>235513.22867047388</v>
      </c>
      <c r="L35" s="38">
        <f t="shared" si="1"/>
        <v>34145.852691325796</v>
      </c>
      <c r="M35" s="309" t="s">
        <v>598</v>
      </c>
      <c r="N35" s="45">
        <f t="shared" si="3"/>
        <v>34145.854150553198</v>
      </c>
    </row>
    <row r="36" spans="1:14" s="5" customFormat="1" ht="13.5" customHeight="1">
      <c r="A36" s="36">
        <v>45006</v>
      </c>
      <c r="B36" s="247" t="s">
        <v>250</v>
      </c>
      <c r="C36" s="313"/>
      <c r="D36" s="311">
        <v>14</v>
      </c>
      <c r="E36" s="36" t="s">
        <v>625</v>
      </c>
      <c r="F36" s="36"/>
      <c r="G36" s="38"/>
      <c r="H36" s="38"/>
      <c r="I36" s="38">
        <v>3.6</v>
      </c>
      <c r="J36" s="53">
        <f>I36/'통장내역(환율표)'!$D$85</f>
        <v>0.52194466867333733</v>
      </c>
      <c r="K36" s="271">
        <f t="shared" si="0"/>
        <v>235509.62867047387</v>
      </c>
      <c r="L36" s="38">
        <f t="shared" si="1"/>
        <v>34145.33074665712</v>
      </c>
      <c r="M36" s="309"/>
      <c r="N36" s="45">
        <f t="shared" si="3"/>
        <v>34145.332205884522</v>
      </c>
    </row>
    <row r="37" spans="1:14" s="5" customFormat="1" ht="13.5" customHeight="1">
      <c r="A37" s="36">
        <v>45006</v>
      </c>
      <c r="B37" s="247" t="s">
        <v>131</v>
      </c>
      <c r="C37" s="313"/>
      <c r="D37" s="311">
        <v>15</v>
      </c>
      <c r="E37" s="36" t="s">
        <v>21</v>
      </c>
      <c r="F37" s="36"/>
      <c r="G37" s="38"/>
      <c r="H37" s="38"/>
      <c r="I37" s="38">
        <v>7606.18</v>
      </c>
      <c r="J37" s="53">
        <f>I37/'통장내역(환율표)'!$D$85</f>
        <v>1102.7791944360458</v>
      </c>
      <c r="K37" s="271">
        <f t="shared" si="0"/>
        <v>227903.44867047388</v>
      </c>
      <c r="L37" s="38">
        <f t="shared" si="1"/>
        <v>33042.551552221077</v>
      </c>
      <c r="M37" s="36"/>
      <c r="N37" s="45">
        <f t="shared" si="3"/>
        <v>33042.553011448479</v>
      </c>
    </row>
    <row r="38" spans="1:14" s="5" customFormat="1" ht="13.5" customHeight="1">
      <c r="A38" s="36">
        <v>45006</v>
      </c>
      <c r="B38" s="247" t="s">
        <v>133</v>
      </c>
      <c r="C38" s="313"/>
      <c r="D38" s="311">
        <v>15</v>
      </c>
      <c r="E38" s="36" t="s">
        <v>21</v>
      </c>
      <c r="F38" s="36"/>
      <c r="G38" s="38"/>
      <c r="H38" s="38"/>
      <c r="I38" s="38">
        <v>2552.3000000000002</v>
      </c>
      <c r="J38" s="53">
        <f>I38/'통장내역(환율표)'!$D$85</f>
        <v>370.04427162637751</v>
      </c>
      <c r="K38" s="271">
        <f t="shared" si="0"/>
        <v>225351.14867047389</v>
      </c>
      <c r="L38" s="38">
        <f t="shared" si="1"/>
        <v>32672.507280594698</v>
      </c>
      <c r="M38" s="36"/>
      <c r="N38" s="45">
        <f t="shared" si="3"/>
        <v>32672.5087398221</v>
      </c>
    </row>
    <row r="39" spans="1:14" s="5" customFormat="1" ht="13.5" customHeight="1">
      <c r="A39" s="36">
        <v>45006</v>
      </c>
      <c r="B39" s="247" t="s">
        <v>456</v>
      </c>
      <c r="C39" s="313"/>
      <c r="D39" s="311">
        <v>15</v>
      </c>
      <c r="E39" s="36" t="s">
        <v>21</v>
      </c>
      <c r="F39" s="36"/>
      <c r="G39" s="38"/>
      <c r="H39" s="38"/>
      <c r="I39" s="38">
        <v>13500</v>
      </c>
      <c r="J39" s="53">
        <f>I39/'통장내역(환율표)'!$D$85</f>
        <v>1957.292507525015</v>
      </c>
      <c r="K39" s="271">
        <f t="shared" si="0"/>
        <v>211851.14867047389</v>
      </c>
      <c r="L39" s="38">
        <f t="shared" si="1"/>
        <v>30715.214773069682</v>
      </c>
      <c r="M39" s="36"/>
      <c r="N39" s="45">
        <f t="shared" si="3"/>
        <v>30715.216232297083</v>
      </c>
    </row>
    <row r="40" spans="1:14" s="5" customFormat="1" ht="13.5" customHeight="1">
      <c r="A40" s="36">
        <v>45006</v>
      </c>
      <c r="B40" s="247" t="s">
        <v>457</v>
      </c>
      <c r="C40" s="313"/>
      <c r="D40" s="311">
        <v>15</v>
      </c>
      <c r="E40" s="36" t="s">
        <v>21</v>
      </c>
      <c r="F40" s="36"/>
      <c r="G40" s="38"/>
      <c r="H40" s="38"/>
      <c r="I40" s="38">
        <v>20000</v>
      </c>
      <c r="J40" s="53">
        <f>I40/'통장내역(환율표)'!$D$85</f>
        <v>2899.6926037407629</v>
      </c>
      <c r="K40" s="271">
        <f t="shared" si="0"/>
        <v>191851.14867047389</v>
      </c>
      <c r="L40" s="38">
        <f t="shared" si="1"/>
        <v>27815.52216932892</v>
      </c>
      <c r="M40" s="36"/>
      <c r="N40" s="45">
        <f t="shared" si="3"/>
        <v>27815.523628556322</v>
      </c>
    </row>
    <row r="41" spans="1:14" s="5" customFormat="1" ht="13.5" customHeight="1">
      <c r="A41" s="36">
        <v>45006</v>
      </c>
      <c r="B41" s="247" t="s">
        <v>130</v>
      </c>
      <c r="C41" s="313"/>
      <c r="D41" s="311">
        <v>16</v>
      </c>
      <c r="E41" s="36" t="s">
        <v>21</v>
      </c>
      <c r="F41" s="36"/>
      <c r="G41" s="38"/>
      <c r="H41" s="38"/>
      <c r="I41" s="38">
        <v>300</v>
      </c>
      <c r="J41" s="53">
        <f>I41/'통장내역(환율표)'!$D$85</f>
        <v>43.495389056111442</v>
      </c>
      <c r="K41" s="271">
        <f t="shared" si="0"/>
        <v>191551.14867047389</v>
      </c>
      <c r="L41" s="38">
        <f t="shared" si="1"/>
        <v>27772.026780272809</v>
      </c>
      <c r="M41" s="36"/>
      <c r="N41" s="45">
        <f t="shared" si="3"/>
        <v>27772.02823950021</v>
      </c>
    </row>
    <row r="42" spans="1:14" s="5" customFormat="1" ht="13.5" customHeight="1">
      <c r="A42" s="36">
        <v>45006</v>
      </c>
      <c r="B42" s="247" t="s">
        <v>131</v>
      </c>
      <c r="C42" s="313"/>
      <c r="D42" s="311">
        <v>17</v>
      </c>
      <c r="E42" s="36" t="s">
        <v>21</v>
      </c>
      <c r="F42" s="36"/>
      <c r="G42" s="38"/>
      <c r="H42" s="38"/>
      <c r="I42" s="38">
        <v>4231.18</v>
      </c>
      <c r="J42" s="53">
        <f>I42/'통장내역(환율표)'!$D$85</f>
        <v>613.45606755479207</v>
      </c>
      <c r="K42" s="271">
        <f t="shared" si="0"/>
        <v>187319.9686704739</v>
      </c>
      <c r="L42" s="38">
        <f t="shared" si="1"/>
        <v>27158.570712718018</v>
      </c>
      <c r="M42" s="36"/>
      <c r="N42" s="45">
        <f t="shared" si="3"/>
        <v>27158.57217194542</v>
      </c>
    </row>
    <row r="43" spans="1:14" s="5" customFormat="1" ht="13.5" customHeight="1">
      <c r="A43" s="36">
        <v>45006</v>
      </c>
      <c r="B43" s="247" t="s">
        <v>133</v>
      </c>
      <c r="C43" s="313"/>
      <c r="D43" s="311">
        <v>17</v>
      </c>
      <c r="E43" s="36" t="s">
        <v>21</v>
      </c>
      <c r="F43" s="36"/>
      <c r="G43" s="38"/>
      <c r="H43" s="38"/>
      <c r="I43" s="38">
        <v>7714.2999999999993</v>
      </c>
      <c r="J43" s="53">
        <f>I43/'통장내역(환율표)'!$D$85</f>
        <v>1118.4549326518684</v>
      </c>
      <c r="K43" s="271">
        <f t="shared" si="0"/>
        <v>179605.66867047391</v>
      </c>
      <c r="L43" s="38">
        <f t="shared" si="1"/>
        <v>26040.115780066149</v>
      </c>
      <c r="M43" s="36"/>
      <c r="N43" s="45">
        <f t="shared" si="3"/>
        <v>26040.117239293551</v>
      </c>
    </row>
    <row r="44" spans="1:14" s="5" customFormat="1" ht="13.5" customHeight="1">
      <c r="A44" s="36">
        <v>45006</v>
      </c>
      <c r="B44" s="247" t="s">
        <v>456</v>
      </c>
      <c r="C44" s="313"/>
      <c r="D44" s="311">
        <v>17</v>
      </c>
      <c r="E44" s="36" t="s">
        <v>21</v>
      </c>
      <c r="F44" s="36"/>
      <c r="G44" s="38"/>
      <c r="H44" s="38"/>
      <c r="I44" s="38">
        <v>13500</v>
      </c>
      <c r="J44" s="53">
        <f>I44/'통장내역(환율표)'!$D$85</f>
        <v>1957.292507525015</v>
      </c>
      <c r="K44" s="271">
        <f t="shared" si="0"/>
        <v>166105.66867047391</v>
      </c>
      <c r="L44" s="38">
        <f t="shared" si="1"/>
        <v>24082.823272541136</v>
      </c>
      <c r="M44" s="36"/>
      <c r="N44" s="45">
        <f t="shared" si="3"/>
        <v>24082.824731768538</v>
      </c>
    </row>
    <row r="45" spans="1:14" s="5" customFormat="1" ht="13.5" customHeight="1">
      <c r="A45" s="36">
        <v>45006</v>
      </c>
      <c r="B45" s="247" t="s">
        <v>457</v>
      </c>
      <c r="C45" s="313"/>
      <c r="D45" s="311">
        <v>17</v>
      </c>
      <c r="E45" s="36" t="s">
        <v>21</v>
      </c>
      <c r="F45" s="36"/>
      <c r="G45" s="38"/>
      <c r="H45" s="38"/>
      <c r="I45" s="38">
        <v>20000</v>
      </c>
      <c r="J45" s="53">
        <f>I45/'통장내역(환율표)'!$D$85</f>
        <v>2899.6926037407629</v>
      </c>
      <c r="K45" s="271">
        <f t="shared" si="0"/>
        <v>146105.66867047391</v>
      </c>
      <c r="L45" s="38">
        <f t="shared" si="1"/>
        <v>21183.130668800375</v>
      </c>
      <c r="M45" s="36"/>
      <c r="N45" s="45">
        <f t="shared" si="3"/>
        <v>21183.132128027777</v>
      </c>
    </row>
    <row r="46" spans="1:14" s="5" customFormat="1" ht="13.5" customHeight="1">
      <c r="A46" s="36">
        <v>45006</v>
      </c>
      <c r="B46" s="247" t="s">
        <v>622</v>
      </c>
      <c r="C46" s="313"/>
      <c r="D46" s="311">
        <v>17</v>
      </c>
      <c r="E46" s="33" t="s">
        <v>179</v>
      </c>
      <c r="F46" s="36"/>
      <c r="G46" s="38"/>
      <c r="H46" s="38"/>
      <c r="I46" s="38">
        <v>40000</v>
      </c>
      <c r="J46" s="53">
        <f>I46/'통장내역(환율표)'!$D$85</f>
        <v>5799.3852074815259</v>
      </c>
      <c r="K46" s="271">
        <f t="shared" si="0"/>
        <v>106105.66867047391</v>
      </c>
      <c r="L46" s="38">
        <f t="shared" si="1"/>
        <v>15383.745461318849</v>
      </c>
      <c r="M46" s="36"/>
      <c r="N46" s="45">
        <f t="shared" si="3"/>
        <v>15383.746920546251</v>
      </c>
    </row>
    <row r="47" spans="1:14" s="5" customFormat="1" ht="13.5" customHeight="1">
      <c r="A47" s="36">
        <v>45006</v>
      </c>
      <c r="B47" s="247" t="s">
        <v>623</v>
      </c>
      <c r="C47" s="313"/>
      <c r="D47" s="311">
        <v>17</v>
      </c>
      <c r="E47" s="36" t="s">
        <v>21</v>
      </c>
      <c r="F47" s="36"/>
      <c r="G47" s="38"/>
      <c r="H47" s="38"/>
      <c r="I47" s="38">
        <v>10000</v>
      </c>
      <c r="J47" s="53">
        <f>I47/'통장내역(환율표)'!$D$85</f>
        <v>1449.8463018703815</v>
      </c>
      <c r="K47" s="271">
        <f t="shared" si="0"/>
        <v>96105.668670473911</v>
      </c>
      <c r="L47" s="38">
        <f t="shared" si="1"/>
        <v>13933.899159448469</v>
      </c>
      <c r="M47" s="36"/>
      <c r="N47" s="45">
        <f t="shared" si="3"/>
        <v>13933.900618675871</v>
      </c>
    </row>
    <row r="48" spans="1:14" s="5" customFormat="1" ht="13.5" customHeight="1">
      <c r="A48" s="36">
        <v>45006</v>
      </c>
      <c r="B48" s="247" t="s">
        <v>130</v>
      </c>
      <c r="C48" s="313"/>
      <c r="D48" s="311">
        <v>18</v>
      </c>
      <c r="E48" s="36" t="s">
        <v>21</v>
      </c>
      <c r="F48" s="36"/>
      <c r="G48" s="38"/>
      <c r="H48" s="38"/>
      <c r="I48" s="38">
        <v>300</v>
      </c>
      <c r="J48" s="53">
        <f>I48/'통장내역(환율표)'!$D$85</f>
        <v>43.495389056111442</v>
      </c>
      <c r="K48" s="271">
        <f t="shared" si="0"/>
        <v>95805.668670473911</v>
      </c>
      <c r="L48" s="38">
        <f t="shared" si="1"/>
        <v>13890.403770392357</v>
      </c>
      <c r="M48" s="36"/>
      <c r="N48" s="45">
        <f t="shared" si="3"/>
        <v>13890.405229619759</v>
      </c>
    </row>
    <row r="49" spans="1:14" s="5" customFormat="1" ht="13.5" customHeight="1">
      <c r="A49" s="36">
        <v>45006</v>
      </c>
      <c r="B49" s="247" t="s">
        <v>848</v>
      </c>
      <c r="C49" s="313"/>
      <c r="D49" s="311">
        <v>19</v>
      </c>
      <c r="E49" s="36" t="s">
        <v>21</v>
      </c>
      <c r="F49" s="36"/>
      <c r="G49" s="38"/>
      <c r="H49" s="38"/>
      <c r="I49" s="44">
        <v>5043.1899999999996</v>
      </c>
      <c r="J49" s="53">
        <f>I49/'통장내역(환율표)'!$D$85</f>
        <v>731.18503711296887</v>
      </c>
      <c r="K49" s="271">
        <f t="shared" si="0"/>
        <v>90762.478670473909</v>
      </c>
      <c r="L49" s="38">
        <f t="shared" si="1"/>
        <v>13159.218733279387</v>
      </c>
      <c r="M49" s="36"/>
      <c r="N49" s="45">
        <f t="shared" si="3"/>
        <v>13159.220192506789</v>
      </c>
    </row>
    <row r="50" spans="1:14" s="5" customFormat="1" ht="13.5" customHeight="1">
      <c r="A50" s="36">
        <v>45006</v>
      </c>
      <c r="B50" s="247" t="s">
        <v>594</v>
      </c>
      <c r="C50" s="313"/>
      <c r="D50" s="311">
        <v>19</v>
      </c>
      <c r="E50" s="36" t="s">
        <v>21</v>
      </c>
      <c r="F50" s="36"/>
      <c r="G50" s="38"/>
      <c r="H50" s="38"/>
      <c r="I50" s="44">
        <v>25000</v>
      </c>
      <c r="J50" s="53">
        <f>I50/'통장내역(환율표)'!$D$85</f>
        <v>3624.6157546759537</v>
      </c>
      <c r="K50" s="271">
        <f t="shared" ref="K50:K82" si="4">K49+G50-I50</f>
        <v>65762.478670473909</v>
      </c>
      <c r="L50" s="38">
        <f t="shared" ref="L50:L82" si="5">L49+H50-J50</f>
        <v>9534.6029786034342</v>
      </c>
      <c r="M50" s="36"/>
      <c r="N50" s="45">
        <f t="shared" si="3"/>
        <v>9534.6044378308361</v>
      </c>
    </row>
    <row r="51" spans="1:14" s="5" customFormat="1" ht="13.5" customHeight="1">
      <c r="A51" s="36">
        <v>45006</v>
      </c>
      <c r="B51" s="247" t="s">
        <v>883</v>
      </c>
      <c r="C51" s="313"/>
      <c r="D51" s="311">
        <v>20</v>
      </c>
      <c r="E51" s="36" t="s">
        <v>21</v>
      </c>
      <c r="F51" s="36"/>
      <c r="G51" s="38"/>
      <c r="H51" s="38"/>
      <c r="I51" s="38">
        <v>300</v>
      </c>
      <c r="J51" s="53">
        <f>I51/'통장내역(환율표)'!$D$85</f>
        <v>43.495389056111442</v>
      </c>
      <c r="K51" s="271">
        <f t="shared" si="4"/>
        <v>65462.478670473909</v>
      </c>
      <c r="L51" s="38">
        <f t="shared" si="5"/>
        <v>9491.1075895473223</v>
      </c>
      <c r="M51" s="36"/>
      <c r="N51" s="45">
        <f t="shared" si="3"/>
        <v>9491.1090487747242</v>
      </c>
    </row>
    <row r="52" spans="1:14" s="5" customFormat="1" ht="13.5" customHeight="1">
      <c r="A52" s="36">
        <v>45006</v>
      </c>
      <c r="B52" s="247" t="s">
        <v>250</v>
      </c>
      <c r="C52" s="313"/>
      <c r="D52" s="311">
        <v>21</v>
      </c>
      <c r="E52" s="36" t="s">
        <v>21</v>
      </c>
      <c r="F52" s="36"/>
      <c r="G52" s="38"/>
      <c r="H52" s="38"/>
      <c r="I52" s="38">
        <v>12</v>
      </c>
      <c r="J52" s="53">
        <f>I52/'통장내역(환율표)'!$D$85</f>
        <v>1.7398155622444578</v>
      </c>
      <c r="K52" s="271">
        <f t="shared" si="4"/>
        <v>65450.478670473909</v>
      </c>
      <c r="L52" s="38">
        <f t="shared" si="5"/>
        <v>9489.3677739850773</v>
      </c>
      <c r="M52" s="36"/>
      <c r="N52" s="45">
        <f t="shared" si="3"/>
        <v>9489.3692332124792</v>
      </c>
    </row>
    <row r="53" spans="1:14" s="5" customFormat="1" ht="13.5" customHeight="1">
      <c r="A53" s="36">
        <v>45006</v>
      </c>
      <c r="B53" s="314" t="s">
        <v>611</v>
      </c>
      <c r="C53" s="313"/>
      <c r="D53" s="311">
        <v>22</v>
      </c>
      <c r="E53" s="36" t="s">
        <v>630</v>
      </c>
      <c r="F53" s="36" t="s">
        <v>631</v>
      </c>
      <c r="G53" s="38"/>
      <c r="H53" s="38"/>
      <c r="I53" s="38">
        <v>385</v>
      </c>
      <c r="J53" s="53">
        <f>I53/'통장내역(환율표)'!$D$85</f>
        <v>55.819082622009688</v>
      </c>
      <c r="K53" s="271">
        <f t="shared" si="4"/>
        <v>65065.478670473909</v>
      </c>
      <c r="L53" s="38">
        <f t="shared" si="5"/>
        <v>9433.5486913630684</v>
      </c>
      <c r="M53" s="36"/>
      <c r="N53" s="45">
        <f t="shared" si="3"/>
        <v>9433.5501505904704</v>
      </c>
    </row>
    <row r="54" spans="1:14" s="5" customFormat="1" ht="13.5" customHeight="1">
      <c r="A54" s="36">
        <v>45006</v>
      </c>
      <c r="B54" s="314" t="s">
        <v>612</v>
      </c>
      <c r="C54" s="313"/>
      <c r="D54" s="311">
        <v>23</v>
      </c>
      <c r="E54" s="36" t="s">
        <v>630</v>
      </c>
      <c r="F54" s="36" t="s">
        <v>631</v>
      </c>
      <c r="G54" s="38"/>
      <c r="H54" s="38"/>
      <c r="I54" s="38">
        <v>935</v>
      </c>
      <c r="J54" s="53">
        <f>I54/'통장내역(환율표)'!$D$85</f>
        <v>135.56062922488067</v>
      </c>
      <c r="K54" s="271">
        <f t="shared" si="4"/>
        <v>64130.478670473909</v>
      </c>
      <c r="L54" s="38">
        <f t="shared" si="5"/>
        <v>9297.9880621381872</v>
      </c>
      <c r="M54" s="36"/>
      <c r="N54" s="45">
        <f t="shared" si="3"/>
        <v>9297.9895213655891</v>
      </c>
    </row>
    <row r="55" spans="1:14" s="5" customFormat="1" ht="13.5" customHeight="1">
      <c r="A55" s="36">
        <v>45006</v>
      </c>
      <c r="B55" s="314" t="s">
        <v>613</v>
      </c>
      <c r="C55" s="313"/>
      <c r="D55" s="311">
        <v>24</v>
      </c>
      <c r="E55" s="36" t="s">
        <v>630</v>
      </c>
      <c r="F55" s="36" t="s">
        <v>631</v>
      </c>
      <c r="G55" s="38"/>
      <c r="H55" s="38"/>
      <c r="I55" s="38">
        <v>2478.02</v>
      </c>
      <c r="J55" s="320">
        <v>359.27</v>
      </c>
      <c r="K55" s="271">
        <f t="shared" si="4"/>
        <v>61652.458670473912</v>
      </c>
      <c r="L55" s="38">
        <f t="shared" si="5"/>
        <v>8938.7180621381867</v>
      </c>
      <c r="M55" s="36"/>
      <c r="N55" s="45">
        <f t="shared" si="3"/>
        <v>8938.7195213655887</v>
      </c>
    </row>
    <row r="56" spans="1:14" s="5" customFormat="1" ht="13.5" customHeight="1">
      <c r="A56" s="36">
        <v>45006</v>
      </c>
      <c r="B56" s="247" t="s">
        <v>250</v>
      </c>
      <c r="C56" s="313"/>
      <c r="D56" s="311">
        <v>25</v>
      </c>
      <c r="E56" s="36" t="s">
        <v>625</v>
      </c>
      <c r="F56" s="36"/>
      <c r="G56" s="38"/>
      <c r="H56" s="38"/>
      <c r="I56" s="38">
        <v>3.6</v>
      </c>
      <c r="J56" s="53">
        <f>I56/'통장내역(환율표)'!$D$85</f>
        <v>0.52194466867333733</v>
      </c>
      <c r="K56" s="271">
        <f t="shared" si="4"/>
        <v>61648.858670473914</v>
      </c>
      <c r="L56" s="38">
        <f t="shared" si="5"/>
        <v>8938.1961174695134</v>
      </c>
      <c r="M56" s="36"/>
      <c r="N56" s="45">
        <f t="shared" si="3"/>
        <v>8938.1975766969153</v>
      </c>
    </row>
    <row r="57" spans="1:14" s="5" customFormat="1" ht="13.5" customHeight="1">
      <c r="A57" s="36">
        <v>45006</v>
      </c>
      <c r="B57" s="314" t="s">
        <v>614</v>
      </c>
      <c r="C57" s="313"/>
      <c r="D57" s="311">
        <v>26</v>
      </c>
      <c r="E57" s="36" t="s">
        <v>632</v>
      </c>
      <c r="F57" s="36" t="s">
        <v>633</v>
      </c>
      <c r="G57" s="38"/>
      <c r="H57" s="38"/>
      <c r="I57" s="38">
        <v>98.5</v>
      </c>
      <c r="J57" s="53">
        <f>I57/'통장내역(환율표)'!$D$85</f>
        <v>14.280986073423257</v>
      </c>
      <c r="K57" s="271">
        <f t="shared" si="4"/>
        <v>61550.358670473914</v>
      </c>
      <c r="L57" s="38">
        <f t="shared" si="5"/>
        <v>8923.9151313960901</v>
      </c>
      <c r="M57" s="36"/>
      <c r="N57" s="45">
        <f t="shared" si="3"/>
        <v>8923.9165906234921</v>
      </c>
    </row>
    <row r="58" spans="1:14" s="5" customFormat="1" ht="13.5" customHeight="1">
      <c r="A58" s="36">
        <v>45006</v>
      </c>
      <c r="B58" s="314" t="s">
        <v>615</v>
      </c>
      <c r="C58" s="313"/>
      <c r="D58" s="311">
        <v>27</v>
      </c>
      <c r="E58" s="36" t="s">
        <v>625</v>
      </c>
      <c r="F58" s="36"/>
      <c r="G58" s="38"/>
      <c r="H58" s="38"/>
      <c r="I58" s="38">
        <v>237.8</v>
      </c>
      <c r="J58" s="53">
        <f>I58/'통장내역(환율표)'!$D$85</f>
        <v>34.477345058477674</v>
      </c>
      <c r="K58" s="271">
        <f t="shared" si="4"/>
        <v>61312.558670473911</v>
      </c>
      <c r="L58" s="38">
        <f t="shared" si="5"/>
        <v>8889.4377863376121</v>
      </c>
      <c r="M58" s="36"/>
      <c r="N58" s="45">
        <f t="shared" si="3"/>
        <v>8889.4392455650141</v>
      </c>
    </row>
    <row r="59" spans="1:14" s="5" customFormat="1" ht="13.5" customHeight="1">
      <c r="A59" s="36">
        <v>45006</v>
      </c>
      <c r="B59" s="314" t="s">
        <v>616</v>
      </c>
      <c r="C59" s="313"/>
      <c r="D59" s="311">
        <v>28</v>
      </c>
      <c r="E59" s="36" t="s">
        <v>630</v>
      </c>
      <c r="F59" s="36" t="s">
        <v>631</v>
      </c>
      <c r="G59" s="38"/>
      <c r="H59" s="38"/>
      <c r="I59" s="38">
        <v>534.39</v>
      </c>
      <c r="J59" s="53">
        <f>I59/'통장내역(환율표)'!$D$85</f>
        <v>77.478336525651315</v>
      </c>
      <c r="K59" s="271">
        <f t="shared" si="4"/>
        <v>60778.168670473911</v>
      </c>
      <c r="L59" s="38">
        <f t="shared" si="5"/>
        <v>8811.9594498119604</v>
      </c>
      <c r="M59" s="36"/>
      <c r="N59" s="45">
        <f t="shared" si="3"/>
        <v>8811.9609090393624</v>
      </c>
    </row>
    <row r="60" spans="1:14" s="5" customFormat="1" ht="13.5" customHeight="1">
      <c r="A60" s="36">
        <v>45006</v>
      </c>
      <c r="B60" s="247" t="s">
        <v>250</v>
      </c>
      <c r="C60" s="313"/>
      <c r="D60" s="311">
        <v>29</v>
      </c>
      <c r="E60" s="36" t="s">
        <v>625</v>
      </c>
      <c r="F60" s="36"/>
      <c r="G60" s="38"/>
      <c r="H60" s="38"/>
      <c r="I60" s="38">
        <v>3.6</v>
      </c>
      <c r="J60" s="53">
        <f>I60/'통장내역(환율표)'!$D$85</f>
        <v>0.52194466867333733</v>
      </c>
      <c r="K60" s="271">
        <f t="shared" si="4"/>
        <v>60774.568670473913</v>
      </c>
      <c r="L60" s="38">
        <f t="shared" si="5"/>
        <v>8811.4375051432871</v>
      </c>
      <c r="M60" s="36"/>
      <c r="N60" s="45">
        <f t="shared" si="3"/>
        <v>8811.4389643706891</v>
      </c>
    </row>
    <row r="61" spans="1:14" s="5" customFormat="1" ht="13.5" customHeight="1">
      <c r="A61" s="36">
        <v>45008</v>
      </c>
      <c r="B61" s="314" t="s">
        <v>599</v>
      </c>
      <c r="C61" s="313"/>
      <c r="D61" s="311">
        <v>31</v>
      </c>
      <c r="E61" s="36" t="s">
        <v>632</v>
      </c>
      <c r="F61" s="36" t="s">
        <v>633</v>
      </c>
      <c r="G61" s="38"/>
      <c r="H61" s="38"/>
      <c r="I61" s="38">
        <v>200</v>
      </c>
      <c r="J61" s="53">
        <f>I61/'통장내역(환율표)'!$D$85</f>
        <v>28.996926037407629</v>
      </c>
      <c r="K61" s="271">
        <f t="shared" si="4"/>
        <v>60574.568670473913</v>
      </c>
      <c r="L61" s="38">
        <f t="shared" si="5"/>
        <v>8782.4405791058798</v>
      </c>
      <c r="M61" s="36"/>
      <c r="N61" s="45">
        <f t="shared" si="3"/>
        <v>8782.4420383332817</v>
      </c>
    </row>
    <row r="62" spans="1:14" s="5" customFormat="1" ht="13.5" customHeight="1">
      <c r="A62" s="36">
        <v>45008</v>
      </c>
      <c r="B62" s="247" t="s">
        <v>250</v>
      </c>
      <c r="C62" s="313"/>
      <c r="D62" s="311">
        <v>32</v>
      </c>
      <c r="E62" s="36" t="s">
        <v>625</v>
      </c>
      <c r="F62" s="36"/>
      <c r="G62" s="38"/>
      <c r="H62" s="38"/>
      <c r="I62" s="38">
        <v>3.6</v>
      </c>
      <c r="J62" s="53">
        <f>I62/'통장내역(환율표)'!$D$85</f>
        <v>0.52194466867333733</v>
      </c>
      <c r="K62" s="271">
        <f t="shared" si="4"/>
        <v>60570.968670473914</v>
      </c>
      <c r="L62" s="38">
        <f t="shared" si="5"/>
        <v>8781.9186344372065</v>
      </c>
      <c r="M62" s="36"/>
      <c r="N62" s="45">
        <f t="shared" si="3"/>
        <v>8781.9200936646084</v>
      </c>
    </row>
    <row r="63" spans="1:14" s="5" customFormat="1" ht="13.5" customHeight="1">
      <c r="A63" s="36">
        <v>45008</v>
      </c>
      <c r="B63" s="314" t="s">
        <v>600</v>
      </c>
      <c r="C63" s="313"/>
      <c r="D63" s="311">
        <v>33</v>
      </c>
      <c r="E63" s="36" t="s">
        <v>630</v>
      </c>
      <c r="F63" s="36" t="s">
        <v>631</v>
      </c>
      <c r="G63" s="38"/>
      <c r="H63" s="38"/>
      <c r="I63" s="38">
        <v>2717.99</v>
      </c>
      <c r="J63" s="53">
        <f>I63/'통장내역(환율표)'!$D$85</f>
        <v>394.0667750020678</v>
      </c>
      <c r="K63" s="271">
        <f t="shared" si="4"/>
        <v>57852.978670473916</v>
      </c>
      <c r="L63" s="38">
        <f t="shared" si="5"/>
        <v>8387.851859435139</v>
      </c>
      <c r="M63" s="36"/>
      <c r="N63" s="45">
        <f t="shared" si="3"/>
        <v>8387.8533186625409</v>
      </c>
    </row>
    <row r="64" spans="1:14" s="5" customFormat="1" ht="13.5" customHeight="1">
      <c r="A64" s="36">
        <v>45008</v>
      </c>
      <c r="B64" s="247" t="s">
        <v>250</v>
      </c>
      <c r="C64" s="313"/>
      <c r="D64" s="311">
        <v>34</v>
      </c>
      <c r="E64" s="36" t="s">
        <v>625</v>
      </c>
      <c r="F64" s="36"/>
      <c r="G64" s="38"/>
      <c r="H64" s="38"/>
      <c r="I64" s="38">
        <v>3.6</v>
      </c>
      <c r="J64" s="53">
        <f>I64/'통장내역(환율표)'!$D$85</f>
        <v>0.52194466867333733</v>
      </c>
      <c r="K64" s="271">
        <f t="shared" si="4"/>
        <v>57849.378670473918</v>
      </c>
      <c r="L64" s="38">
        <f t="shared" si="5"/>
        <v>8387.3299147664657</v>
      </c>
      <c r="M64" s="36"/>
      <c r="N64" s="45">
        <f t="shared" si="3"/>
        <v>8387.3313739938676</v>
      </c>
    </row>
    <row r="65" spans="1:14" s="5" customFormat="1" ht="13.5" customHeight="1">
      <c r="A65" s="36">
        <v>45008</v>
      </c>
      <c r="B65" s="314" t="s">
        <v>601</v>
      </c>
      <c r="C65" s="313"/>
      <c r="D65" s="311">
        <v>35</v>
      </c>
      <c r="E65" s="36" t="s">
        <v>634</v>
      </c>
      <c r="F65" s="36" t="s">
        <v>635</v>
      </c>
      <c r="G65" s="38"/>
      <c r="H65" s="38"/>
      <c r="I65" s="38">
        <v>8709</v>
      </c>
      <c r="J65" s="53">
        <f>I65/'통장내역(환율표)'!$D$85</f>
        <v>1262.6711442989151</v>
      </c>
      <c r="K65" s="271">
        <f t="shared" si="4"/>
        <v>49140.378670473918</v>
      </c>
      <c r="L65" s="38">
        <f t="shared" si="5"/>
        <v>7124.6587704675503</v>
      </c>
      <c r="M65" s="36"/>
      <c r="N65" s="45">
        <f t="shared" si="3"/>
        <v>7124.6602296949522</v>
      </c>
    </row>
    <row r="66" spans="1:14" s="5" customFormat="1" ht="13.5" customHeight="1">
      <c r="A66" s="36">
        <v>45008</v>
      </c>
      <c r="B66" s="247" t="s">
        <v>250</v>
      </c>
      <c r="C66" s="313"/>
      <c r="D66" s="311">
        <v>36</v>
      </c>
      <c r="E66" s="36" t="s">
        <v>625</v>
      </c>
      <c r="F66" s="36"/>
      <c r="G66" s="38"/>
      <c r="H66" s="38"/>
      <c r="I66" s="38">
        <v>3.6</v>
      </c>
      <c r="J66" s="53">
        <f>I66/'통장내역(환율표)'!$D$85</f>
        <v>0.52194466867333733</v>
      </c>
      <c r="K66" s="271">
        <f t="shared" si="4"/>
        <v>49136.778670473919</v>
      </c>
      <c r="L66" s="38">
        <f t="shared" si="5"/>
        <v>7124.136825798877</v>
      </c>
      <c r="M66" s="36"/>
      <c r="N66" s="45">
        <f t="shared" si="3"/>
        <v>7124.1382850262789</v>
      </c>
    </row>
    <row r="67" spans="1:14" s="5" customFormat="1" ht="13.5" customHeight="1">
      <c r="A67" s="36">
        <v>45008</v>
      </c>
      <c r="B67" s="314" t="s">
        <v>602</v>
      </c>
      <c r="C67" s="313"/>
      <c r="D67" s="311">
        <v>37</v>
      </c>
      <c r="E67" s="36" t="s">
        <v>630</v>
      </c>
      <c r="F67" s="36" t="s">
        <v>631</v>
      </c>
      <c r="G67" s="38"/>
      <c r="H67" s="38"/>
      <c r="I67" s="38">
        <v>140</v>
      </c>
      <c r="J67" s="53">
        <f>I67/'통장내역(환율표)'!$D$85</f>
        <v>20.297848226185341</v>
      </c>
      <c r="K67" s="271">
        <f t="shared" si="4"/>
        <v>48996.778670473919</v>
      </c>
      <c r="L67" s="38">
        <f t="shared" si="5"/>
        <v>7103.8389775726919</v>
      </c>
      <c r="M67" s="36"/>
      <c r="N67" s="45">
        <f t="shared" si="3"/>
        <v>7103.8404368000938</v>
      </c>
    </row>
    <row r="68" spans="1:14" s="5" customFormat="1" ht="13.5" customHeight="1">
      <c r="A68" s="36">
        <v>45008</v>
      </c>
      <c r="B68" s="247" t="s">
        <v>250</v>
      </c>
      <c r="C68" s="313"/>
      <c r="D68" s="311">
        <v>38</v>
      </c>
      <c r="E68" s="36" t="s">
        <v>625</v>
      </c>
      <c r="F68" s="36"/>
      <c r="G68" s="38"/>
      <c r="H68" s="38"/>
      <c r="I68" s="38">
        <v>3.6</v>
      </c>
      <c r="J68" s="53">
        <f>I68/'통장내역(환율표)'!$D$85</f>
        <v>0.52194466867333733</v>
      </c>
      <c r="K68" s="271">
        <f t="shared" si="4"/>
        <v>48993.178670473921</v>
      </c>
      <c r="L68" s="38">
        <f t="shared" si="5"/>
        <v>7103.3170329040186</v>
      </c>
      <c r="M68" s="36"/>
      <c r="N68" s="45">
        <f t="shared" si="3"/>
        <v>7103.3184921314205</v>
      </c>
    </row>
    <row r="69" spans="1:14" s="5" customFormat="1" ht="13.5" customHeight="1">
      <c r="A69" s="36">
        <v>45008</v>
      </c>
      <c r="B69" s="314" t="s">
        <v>603</v>
      </c>
      <c r="C69" s="313"/>
      <c r="D69" s="311">
        <v>39</v>
      </c>
      <c r="E69" s="36" t="s">
        <v>630</v>
      </c>
      <c r="F69" s="36" t="s">
        <v>631</v>
      </c>
      <c r="G69" s="38"/>
      <c r="H69" s="38"/>
      <c r="I69" s="38">
        <v>1365.7</v>
      </c>
      <c r="J69" s="53">
        <f>I69/'통장내역(환율표)'!$D$85</f>
        <v>198.005509446438</v>
      </c>
      <c r="K69" s="271">
        <f t="shared" si="4"/>
        <v>47627.478670473924</v>
      </c>
      <c r="L69" s="38">
        <f t="shared" si="5"/>
        <v>6905.3115234575807</v>
      </c>
      <c r="M69" s="36"/>
      <c r="N69" s="45">
        <f t="shared" si="3"/>
        <v>6905.3129826849827</v>
      </c>
    </row>
    <row r="70" spans="1:14" s="5" customFormat="1" ht="13.5" customHeight="1">
      <c r="A70" s="36">
        <v>45008</v>
      </c>
      <c r="B70" s="247" t="s">
        <v>250</v>
      </c>
      <c r="C70" s="313"/>
      <c r="D70" s="311">
        <v>40</v>
      </c>
      <c r="E70" s="36" t="s">
        <v>625</v>
      </c>
      <c r="F70" s="36"/>
      <c r="G70" s="38"/>
      <c r="H70" s="38"/>
      <c r="I70" s="38">
        <v>3.6</v>
      </c>
      <c r="J70" s="53">
        <f>I70/'통장내역(환율표)'!$D$85</f>
        <v>0.52194466867333733</v>
      </c>
      <c r="K70" s="271">
        <f t="shared" si="4"/>
        <v>47623.878670473925</v>
      </c>
      <c r="L70" s="38">
        <f t="shared" si="5"/>
        <v>6904.7895787889074</v>
      </c>
      <c r="M70" s="36"/>
      <c r="N70" s="45">
        <f t="shared" si="3"/>
        <v>6904.7910380163094</v>
      </c>
    </row>
    <row r="71" spans="1:14" s="5" customFormat="1" ht="13.5" customHeight="1">
      <c r="A71" s="36">
        <v>45008</v>
      </c>
      <c r="B71" s="314" t="s">
        <v>617</v>
      </c>
      <c r="C71" s="313"/>
      <c r="D71" s="311">
        <v>41</v>
      </c>
      <c r="E71" s="36" t="s">
        <v>625</v>
      </c>
      <c r="F71" s="36"/>
      <c r="G71" s="38"/>
      <c r="H71" s="38"/>
      <c r="I71" s="38">
        <v>446.4</v>
      </c>
      <c r="J71" s="53">
        <f>I71/'통장내역(환율표)'!$D$85</f>
        <v>64.721138915493825</v>
      </c>
      <c r="K71" s="271">
        <f t="shared" si="4"/>
        <v>47177.478670473924</v>
      </c>
      <c r="L71" s="38">
        <f t="shared" si="5"/>
        <v>6840.0684398734138</v>
      </c>
      <c r="M71" s="36"/>
      <c r="N71" s="45">
        <f t="shared" si="3"/>
        <v>6840.0698991008157</v>
      </c>
    </row>
    <row r="72" spans="1:14" s="5" customFormat="1" ht="13.5" customHeight="1">
      <c r="A72" s="36">
        <v>45008</v>
      </c>
      <c r="B72" s="314" t="s">
        <v>618</v>
      </c>
      <c r="C72" s="313"/>
      <c r="D72" s="311">
        <v>42</v>
      </c>
      <c r="E72" s="36" t="s">
        <v>625</v>
      </c>
      <c r="F72" s="36"/>
      <c r="G72" s="38"/>
      <c r="H72" s="38"/>
      <c r="I72" s="38">
        <v>184</v>
      </c>
      <c r="J72" s="53">
        <f>I72/'통장내역(환율표)'!$D$85</f>
        <v>26.677171954415019</v>
      </c>
      <c r="K72" s="271">
        <f t="shared" si="4"/>
        <v>46993.478670473924</v>
      </c>
      <c r="L72" s="38">
        <f t="shared" si="5"/>
        <v>6813.3912679189989</v>
      </c>
      <c r="M72" s="36"/>
      <c r="N72" s="45">
        <f t="shared" si="3"/>
        <v>6813.3927271464008</v>
      </c>
    </row>
    <row r="73" spans="1:14" s="5" customFormat="1" ht="13.5" customHeight="1">
      <c r="A73" s="36">
        <v>45008</v>
      </c>
      <c r="B73" s="314" t="s">
        <v>619</v>
      </c>
      <c r="C73" s="313"/>
      <c r="D73" s="311">
        <v>43</v>
      </c>
      <c r="E73" s="36" t="s">
        <v>625</v>
      </c>
      <c r="F73" s="36"/>
      <c r="G73" s="38"/>
      <c r="H73" s="38"/>
      <c r="I73" s="38">
        <v>382</v>
      </c>
      <c r="J73" s="53">
        <f>I73/'통장내역(환율표)'!$D$85</f>
        <v>55.38412873144857</v>
      </c>
      <c r="K73" s="271">
        <f t="shared" si="4"/>
        <v>46611.478670473924</v>
      </c>
      <c r="L73" s="38">
        <f t="shared" si="5"/>
        <v>6758.0071391875499</v>
      </c>
      <c r="M73" s="36"/>
      <c r="N73" s="45">
        <f t="shared" si="3"/>
        <v>6758.0085984149518</v>
      </c>
    </row>
    <row r="74" spans="1:14" s="5" customFormat="1" ht="13.5" customHeight="1">
      <c r="A74" s="36">
        <v>45008</v>
      </c>
      <c r="B74" s="314" t="s">
        <v>620</v>
      </c>
      <c r="C74" s="313"/>
      <c r="D74" s="311">
        <v>44</v>
      </c>
      <c r="E74" s="36" t="s">
        <v>625</v>
      </c>
      <c r="F74" s="36"/>
      <c r="G74" s="38"/>
      <c r="H74" s="38"/>
      <c r="I74" s="38">
        <v>300</v>
      </c>
      <c r="J74" s="53">
        <f>I74/'통장내역(환율표)'!$D$85</f>
        <v>43.495389056111442</v>
      </c>
      <c r="K74" s="271">
        <f t="shared" si="4"/>
        <v>46311.478670473924</v>
      </c>
      <c r="L74" s="38">
        <f t="shared" si="5"/>
        <v>6714.511750131438</v>
      </c>
      <c r="M74" s="36"/>
      <c r="N74" s="45">
        <f t="shared" si="3"/>
        <v>6714.51320935884</v>
      </c>
    </row>
    <row r="75" spans="1:14" s="5" customFormat="1" ht="13.5" customHeight="1">
      <c r="A75" s="36">
        <v>45008</v>
      </c>
      <c r="B75" s="247" t="s">
        <v>250</v>
      </c>
      <c r="C75" s="313"/>
      <c r="D75" s="311">
        <v>45</v>
      </c>
      <c r="E75" s="36" t="s">
        <v>625</v>
      </c>
      <c r="F75" s="36"/>
      <c r="G75" s="38"/>
      <c r="H75" s="38"/>
      <c r="I75" s="38">
        <v>3.6</v>
      </c>
      <c r="J75" s="53">
        <f>I75/'통장내역(환율표)'!$D$85</f>
        <v>0.52194466867333733</v>
      </c>
      <c r="K75" s="271">
        <f t="shared" si="4"/>
        <v>46307.878670473925</v>
      </c>
      <c r="L75" s="38">
        <f t="shared" si="5"/>
        <v>6713.9898054627647</v>
      </c>
      <c r="M75" s="36"/>
      <c r="N75" s="45">
        <f t="shared" si="3"/>
        <v>6713.9912646901666</v>
      </c>
    </row>
    <row r="76" spans="1:14" s="5" customFormat="1" ht="13.5" customHeight="1">
      <c r="A76" s="36">
        <v>45008</v>
      </c>
      <c r="B76" s="314" t="s">
        <v>621</v>
      </c>
      <c r="C76" s="313"/>
      <c r="D76" s="311">
        <v>46</v>
      </c>
      <c r="E76" s="36" t="s">
        <v>632</v>
      </c>
      <c r="F76" s="36" t="s">
        <v>633</v>
      </c>
      <c r="G76" s="38"/>
      <c r="H76" s="38"/>
      <c r="I76" s="38">
        <v>499</v>
      </c>
      <c r="J76" s="53">
        <f>I76/'통장내역(환율표)'!$D$85</f>
        <v>72.347330463332028</v>
      </c>
      <c r="K76" s="271">
        <f t="shared" si="4"/>
        <v>45808.878670473925</v>
      </c>
      <c r="L76" s="38">
        <f t="shared" si="5"/>
        <v>6641.642474999433</v>
      </c>
      <c r="M76" s="36"/>
      <c r="N76" s="45">
        <f t="shared" si="3"/>
        <v>6641.643934226835</v>
      </c>
    </row>
    <row r="77" spans="1:14" s="5" customFormat="1" ht="13.5" customHeight="1">
      <c r="A77" s="36">
        <v>45008</v>
      </c>
      <c r="B77" s="314" t="s">
        <v>649</v>
      </c>
      <c r="C77" s="313"/>
      <c r="D77" s="311">
        <v>47</v>
      </c>
      <c r="E77" s="36" t="s">
        <v>632</v>
      </c>
      <c r="F77" s="36" t="s">
        <v>633</v>
      </c>
      <c r="G77" s="38"/>
      <c r="H77" s="38"/>
      <c r="I77" s="38">
        <v>795.5</v>
      </c>
      <c r="J77" s="53">
        <f>I77/'통장내역(환율표)'!$D$85</f>
        <v>115.33527331378885</v>
      </c>
      <c r="K77" s="271">
        <f t="shared" si="4"/>
        <v>45013.378670473925</v>
      </c>
      <c r="L77" s="38">
        <f t="shared" si="5"/>
        <v>6526.307201685644</v>
      </c>
      <c r="M77" s="36"/>
      <c r="N77" s="45">
        <f t="shared" si="3"/>
        <v>6526.308660913046</v>
      </c>
    </row>
    <row r="78" spans="1:14" s="5" customFormat="1" ht="13.5" customHeight="1">
      <c r="A78" s="36">
        <v>45008</v>
      </c>
      <c r="B78" s="247" t="s">
        <v>250</v>
      </c>
      <c r="C78" s="313"/>
      <c r="D78" s="311">
        <v>48</v>
      </c>
      <c r="E78" s="36" t="s">
        <v>625</v>
      </c>
      <c r="F78" s="36"/>
      <c r="G78" s="38"/>
      <c r="H78" s="38"/>
      <c r="I78" s="38">
        <v>3.6</v>
      </c>
      <c r="J78" s="53">
        <f>I78/'통장내역(환율표)'!$D$85</f>
        <v>0.52194466867333733</v>
      </c>
      <c r="K78" s="271">
        <f t="shared" si="4"/>
        <v>45009.778670473926</v>
      </c>
      <c r="L78" s="38">
        <f t="shared" si="5"/>
        <v>6525.7852570169707</v>
      </c>
      <c r="M78" s="36"/>
      <c r="N78" s="45">
        <f t="shared" si="3"/>
        <v>6525.7867162443727</v>
      </c>
    </row>
    <row r="79" spans="1:14" s="5" customFormat="1" ht="13.5" customHeight="1">
      <c r="A79" s="36">
        <v>45008</v>
      </c>
      <c r="B79" s="314" t="s">
        <v>604</v>
      </c>
      <c r="C79" s="313"/>
      <c r="D79" s="311">
        <v>49</v>
      </c>
      <c r="E79" s="36" t="s">
        <v>630</v>
      </c>
      <c r="F79" s="36" t="s">
        <v>631</v>
      </c>
      <c r="G79" s="38"/>
      <c r="H79" s="38"/>
      <c r="I79" s="38">
        <v>5078.47</v>
      </c>
      <c r="J79" s="53">
        <f>I79/'통장내역(환율표)'!$D$85</f>
        <v>736.30009486596771</v>
      </c>
      <c r="K79" s="271">
        <f t="shared" si="4"/>
        <v>39931.308670473925</v>
      </c>
      <c r="L79" s="38">
        <f t="shared" si="5"/>
        <v>5789.4851621510034</v>
      </c>
      <c r="M79" s="36"/>
      <c r="N79" s="45">
        <f t="shared" si="3"/>
        <v>5789.4866213784053</v>
      </c>
    </row>
    <row r="80" spans="1:14" s="5" customFormat="1" ht="13.5" customHeight="1">
      <c r="A80" s="36">
        <v>45008</v>
      </c>
      <c r="B80" s="247" t="s">
        <v>250</v>
      </c>
      <c r="C80" s="313"/>
      <c r="D80" s="311">
        <v>50</v>
      </c>
      <c r="E80" s="36" t="s">
        <v>625</v>
      </c>
      <c r="F80" s="36"/>
      <c r="G80" s="38"/>
      <c r="H80" s="38"/>
      <c r="I80" s="38">
        <v>3.6</v>
      </c>
      <c r="J80" s="53">
        <f>I80/'통장내역(환율표)'!$D$85</f>
        <v>0.52194466867333733</v>
      </c>
      <c r="K80" s="271">
        <f t="shared" si="4"/>
        <v>39927.708670473927</v>
      </c>
      <c r="L80" s="38">
        <f t="shared" si="5"/>
        <v>5788.96321748233</v>
      </c>
      <c r="M80" s="36"/>
      <c r="N80" s="45">
        <f t="shared" si="3"/>
        <v>5788.964676709732</v>
      </c>
    </row>
    <row r="81" spans="1:15" s="5" customFormat="1" ht="13.5" customHeight="1">
      <c r="A81" s="36">
        <v>45008</v>
      </c>
      <c r="B81" s="314" t="s">
        <v>605</v>
      </c>
      <c r="C81" s="313"/>
      <c r="D81" s="311">
        <v>51</v>
      </c>
      <c r="E81" s="36" t="s">
        <v>634</v>
      </c>
      <c r="F81" s="36" t="s">
        <v>635</v>
      </c>
      <c r="G81" s="38"/>
      <c r="H81" s="38"/>
      <c r="I81" s="38">
        <v>20105.599999999999</v>
      </c>
      <c r="J81" s="53">
        <f>I81/'통장내역(환율표)'!$D$85</f>
        <v>2915.0029806885141</v>
      </c>
      <c r="K81" s="271">
        <f t="shared" si="4"/>
        <v>19822.108670473928</v>
      </c>
      <c r="L81" s="38">
        <f t="shared" si="5"/>
        <v>2873.960236793816</v>
      </c>
      <c r="M81" s="36"/>
      <c r="N81" s="45">
        <f t="shared" si="3"/>
        <v>2873.9616960212179</v>
      </c>
    </row>
    <row r="82" spans="1:15" s="5" customFormat="1" ht="13.5" customHeight="1">
      <c r="A82" s="36">
        <v>45008</v>
      </c>
      <c r="B82" s="247" t="s">
        <v>250</v>
      </c>
      <c r="C82" s="313"/>
      <c r="D82" s="311">
        <v>52</v>
      </c>
      <c r="E82" s="36" t="s">
        <v>625</v>
      </c>
      <c r="F82" s="36"/>
      <c r="G82" s="38"/>
      <c r="H82" s="38"/>
      <c r="I82" s="38">
        <v>7.2</v>
      </c>
      <c r="J82" s="53">
        <f>I82/'통장내역(환율표)'!$D$85</f>
        <v>1.0438893373466747</v>
      </c>
      <c r="K82" s="271">
        <f t="shared" si="4"/>
        <v>19814.908670473927</v>
      </c>
      <c r="L82" s="38">
        <f t="shared" si="5"/>
        <v>2872.9163474564693</v>
      </c>
      <c r="M82" s="36"/>
      <c r="N82" s="45">
        <f t="shared" si="3"/>
        <v>2872.9178066838713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</sheetData>
  <autoFilter ref="A18:N152" xr:uid="{00000000-0009-0000-0000-00000E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O151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6.5"/>
  <cols>
    <col min="1" max="4" width="11.87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</cols>
  <sheetData>
    <row r="1" spans="1:14" ht="24">
      <c r="A1" s="1" t="s">
        <v>642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7.25">
      <c r="A2" s="130" t="s">
        <v>695</v>
      </c>
      <c r="B2" s="2"/>
      <c r="C2" s="2"/>
      <c r="E2" s="4">
        <v>100021362</v>
      </c>
      <c r="F2" s="130"/>
      <c r="G2" s="130" t="s">
        <v>694</v>
      </c>
      <c r="H2" s="127"/>
      <c r="I2" s="127"/>
      <c r="J2" s="130"/>
      <c r="K2" s="4">
        <v>100021364</v>
      </c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.5">
      <c r="A4" s="114" t="s">
        <v>292</v>
      </c>
      <c r="B4" s="115"/>
      <c r="C4" s="116"/>
      <c r="D4" s="116"/>
      <c r="E4" s="117"/>
      <c r="F4" s="323"/>
      <c r="G4" s="114" t="s">
        <v>292</v>
      </c>
      <c r="H4" s="115"/>
      <c r="I4" s="116"/>
      <c r="J4" s="116"/>
      <c r="K4" s="117"/>
      <c r="L4" s="119"/>
    </row>
    <row r="5" spans="1:14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9868</v>
      </c>
      <c r="J5" s="116">
        <v>1436.0974473906338</v>
      </c>
      <c r="K5" s="117">
        <v>1894072</v>
      </c>
      <c r="L5" s="348">
        <f>K5/I5</f>
        <v>191.94081880826914</v>
      </c>
      <c r="M5" s="304"/>
    </row>
    <row r="6" spans="1:14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26965.219999999998</v>
      </c>
      <c r="J6" s="116">
        <v>3924.2687079779957</v>
      </c>
      <c r="K6" s="117">
        <v>5175720</v>
      </c>
      <c r="L6" s="248">
        <f>K6+E6</f>
        <v>5175720</v>
      </c>
    </row>
    <row r="7" spans="1:14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20606</v>
      </c>
      <c r="J7" s="116">
        <v>2998.8066478446899</v>
      </c>
      <c r="K7" s="117">
        <v>3955131</v>
      </c>
      <c r="L7" s="248">
        <f>K7+E7</f>
        <v>3955131</v>
      </c>
    </row>
    <row r="8" spans="1:14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1528.0728817999245</v>
      </c>
      <c r="K8" s="117">
        <v>2015372</v>
      </c>
      <c r="L8" s="248">
        <f>K8+E8</f>
        <v>2015372</v>
      </c>
    </row>
    <row r="9" spans="1:14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992.5</v>
      </c>
      <c r="J9" s="116">
        <v>144.43927001775478</v>
      </c>
      <c r="K9" s="117">
        <v>190502</v>
      </c>
      <c r="L9" s="248">
        <f>K9+E9</f>
        <v>190502</v>
      </c>
    </row>
    <row r="10" spans="1:14" s="5" customFormat="1" ht="13.5">
      <c r="A10" s="114" t="s">
        <v>62</v>
      </c>
      <c r="B10" s="115"/>
      <c r="C10" s="116">
        <v>19815.312857491524</v>
      </c>
      <c r="D10" s="116">
        <v>2872.9158066838709</v>
      </c>
      <c r="E10" s="117">
        <v>3791393</v>
      </c>
      <c r="F10" s="121">
        <v>51321010</v>
      </c>
      <c r="G10" s="114" t="s">
        <v>62</v>
      </c>
      <c r="H10" s="115"/>
      <c r="I10" s="116">
        <v>149443.05714250859</v>
      </c>
      <c r="J10" s="116">
        <v>21799.560285023192</v>
      </c>
      <c r="K10" s="117">
        <v>28751440</v>
      </c>
      <c r="L10" s="248">
        <f>K10+E10</f>
        <v>32542833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.5">
      <c r="A12" s="1493" t="s">
        <v>299</v>
      </c>
      <c r="B12" s="1494"/>
      <c r="C12" s="124">
        <f>SUM(C4:C11)</f>
        <v>19815.312857491524</v>
      </c>
      <c r="D12" s="124">
        <f>SUM(D4:D11)</f>
        <v>2872.9158066838709</v>
      </c>
      <c r="E12" s="125">
        <f>SUM(E4:E11)</f>
        <v>3791393</v>
      </c>
      <c r="F12" s="121">
        <v>52981010</v>
      </c>
      <c r="G12" s="1493" t="s">
        <v>299</v>
      </c>
      <c r="H12" s="1494"/>
      <c r="I12" s="124">
        <f>SUM(I4:I11)</f>
        <v>218374.7771425086</v>
      </c>
      <c r="J12" s="124">
        <f>SUM(J4:J11)</f>
        <v>31831.245240054188</v>
      </c>
      <c r="K12" s="125">
        <f>SUM(K4:K11)</f>
        <v>41982237</v>
      </c>
      <c r="L12" s="119"/>
    </row>
    <row r="13" spans="1:14" s="5" customFormat="1" ht="13.5">
      <c r="A13" s="126"/>
      <c r="B13" s="315"/>
      <c r="C13" s="316">
        <f>C12+I12</f>
        <v>238190.09000000011</v>
      </c>
      <c r="D13" s="316">
        <f>D12+J12</f>
        <v>34704.16104673806</v>
      </c>
      <c r="E13" s="317">
        <f>E12+K12</f>
        <v>45773630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.5">
      <c r="A14" s="126" t="s">
        <v>592</v>
      </c>
      <c r="B14" s="315"/>
      <c r="C14" s="316">
        <v>2628</v>
      </c>
      <c r="D14" s="316">
        <v>382.45481270192397</v>
      </c>
      <c r="E14" s="317">
        <v>504413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.5">
      <c r="A15" s="126"/>
      <c r="B15" s="315"/>
      <c r="C15" s="316">
        <f>SUM(C13:C14)</f>
        <v>240818.09000000011</v>
      </c>
      <c r="D15" s="316">
        <f>SUM(D13:D14)</f>
        <v>35086.615859439982</v>
      </c>
      <c r="G15" s="130"/>
      <c r="H15" s="130"/>
      <c r="I15" s="131"/>
      <c r="J15" s="130"/>
      <c r="K15" s="288"/>
      <c r="L15" s="253"/>
      <c r="N15" s="45" t="e">
        <f>#REF!</f>
        <v>#REF!</v>
      </c>
    </row>
    <row r="16" spans="1:14" s="5" customFormat="1" ht="13.5">
      <c r="B16" s="134">
        <v>13081010</v>
      </c>
      <c r="C16" s="135"/>
      <c r="D16" s="135"/>
      <c r="G16" s="6" t="s">
        <v>696</v>
      </c>
      <c r="H16" s="137">
        <f>SUBTOTAL(9,H19:H145)</f>
        <v>84751</v>
      </c>
      <c r="I16" s="137">
        <f>SUBTOTAL(9,I19:I160)</f>
        <v>240818.09000000008</v>
      </c>
      <c r="J16" s="137">
        <f>SUBTOTAL(9,J19:J158)</f>
        <v>35086.615859439989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45016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19814.908670473927</v>
      </c>
      <c r="L19" s="241">
        <v>2872.9163474564693</v>
      </c>
      <c r="M19" s="240"/>
      <c r="N19" s="45">
        <v>2872.9158066838709</v>
      </c>
    </row>
    <row r="20" spans="1:14" s="5" customFormat="1" ht="13.5" customHeight="1">
      <c r="A20" s="46">
        <v>45027</v>
      </c>
      <c r="B20" s="256" t="s">
        <v>643</v>
      </c>
      <c r="C20" s="257"/>
      <c r="D20" s="310">
        <v>1</v>
      </c>
      <c r="E20" s="47"/>
      <c r="F20" s="49"/>
      <c r="G20" s="54">
        <v>582007.57999999996</v>
      </c>
      <c r="H20" s="50">
        <v>84751</v>
      </c>
      <c r="I20" s="302"/>
      <c r="J20" s="54"/>
      <c r="K20" s="303">
        <f t="shared" ref="K20:L23" si="0">K19+G20-I20</f>
        <v>601822.48867047392</v>
      </c>
      <c r="L20" s="50">
        <f t="shared" si="0"/>
        <v>87623.91634745647</v>
      </c>
      <c r="M20" s="52"/>
      <c r="N20" s="45"/>
    </row>
    <row r="21" spans="1:14" s="5" customFormat="1" ht="13.5" customHeight="1">
      <c r="A21" s="46">
        <v>45027</v>
      </c>
      <c r="B21" s="256" t="s">
        <v>658</v>
      </c>
      <c r="C21" s="257"/>
      <c r="D21" s="310">
        <v>1</v>
      </c>
      <c r="E21" s="47" t="s">
        <v>684</v>
      </c>
      <c r="F21" s="49"/>
      <c r="G21" s="54"/>
      <c r="H21" s="50"/>
      <c r="I21" s="302"/>
      <c r="J21" s="53">
        <v>51</v>
      </c>
      <c r="K21" s="303">
        <f t="shared" si="0"/>
        <v>601822.48867047392</v>
      </c>
      <c r="L21" s="50">
        <f t="shared" si="0"/>
        <v>87572.91634745647</v>
      </c>
      <c r="M21" s="52"/>
      <c r="N21" s="45"/>
    </row>
    <row r="22" spans="1:14" s="5" customFormat="1" ht="13.5" customHeight="1">
      <c r="A22" s="36">
        <v>45033</v>
      </c>
      <c r="B22" s="314" t="s">
        <v>651</v>
      </c>
      <c r="C22" s="313"/>
      <c r="D22" s="311">
        <v>2</v>
      </c>
      <c r="E22" s="36" t="s">
        <v>684</v>
      </c>
      <c r="F22" s="36"/>
      <c r="G22" s="38"/>
      <c r="H22" s="38"/>
      <c r="I22" s="38">
        <f>J22*'통장내역(환율표)'!$D$85</f>
        <v>19815.312857491524</v>
      </c>
      <c r="J22" s="54">
        <v>2872.9158066838709</v>
      </c>
      <c r="K22" s="271">
        <f t="shared" si="0"/>
        <v>582007.17581298237</v>
      </c>
      <c r="L22" s="38">
        <f t="shared" si="0"/>
        <v>84700.000540772598</v>
      </c>
      <c r="M22" s="36"/>
      <c r="N22" s="45">
        <f>N19-J22</f>
        <v>0</v>
      </c>
    </row>
    <row r="23" spans="1:14" s="5" customFormat="1" ht="13.5" customHeight="1">
      <c r="A23" s="36">
        <v>45033</v>
      </c>
      <c r="B23" s="321" t="s">
        <v>651</v>
      </c>
      <c r="C23" s="313"/>
      <c r="D23" s="311">
        <v>2</v>
      </c>
      <c r="E23" s="36" t="s">
        <v>684</v>
      </c>
      <c r="F23" s="36"/>
      <c r="G23" s="38"/>
      <c r="H23" s="38"/>
      <c r="I23" s="38">
        <f>35077.15-I22</f>
        <v>15261.837142508477</v>
      </c>
      <c r="J23" s="53">
        <f>I23/'통장내역(환율표)'!$D$92</f>
        <v>2221.0666156108623</v>
      </c>
      <c r="K23" s="271">
        <f t="shared" si="0"/>
        <v>566745.3386704739</v>
      </c>
      <c r="L23" s="38">
        <f t="shared" si="0"/>
        <v>82478.933925161735</v>
      </c>
      <c r="M23" s="36"/>
      <c r="N23" s="45">
        <f>84700-J23</f>
        <v>82478.933384389136</v>
      </c>
    </row>
    <row r="24" spans="1:14" s="5" customFormat="1" ht="13.5" customHeight="1">
      <c r="A24" s="36">
        <v>45037</v>
      </c>
      <c r="B24" s="321" t="s">
        <v>652</v>
      </c>
      <c r="C24" s="313"/>
      <c r="D24" s="311">
        <v>3</v>
      </c>
      <c r="E24" s="36" t="s">
        <v>684</v>
      </c>
      <c r="F24" s="36"/>
      <c r="G24" s="38"/>
      <c r="H24" s="38"/>
      <c r="I24" s="38">
        <v>7606.18</v>
      </c>
      <c r="J24" s="53">
        <f>I24/'통장내역(환율표)'!$D$92</f>
        <v>1106.9330849608523</v>
      </c>
      <c r="K24" s="271">
        <f t="shared" ref="K24:K34" si="1">K23+G24-I24</f>
        <v>559139.15867047384</v>
      </c>
      <c r="L24" s="38">
        <f t="shared" ref="L24:L34" si="2">L23+H24-J24</f>
        <v>81372.000840200883</v>
      </c>
      <c r="M24" s="36" t="s">
        <v>644</v>
      </c>
      <c r="N24" s="45">
        <f>N23-J24</f>
        <v>81372.000299428284</v>
      </c>
    </row>
    <row r="25" spans="1:14" s="5" customFormat="1" ht="13.5" customHeight="1">
      <c r="A25" s="36">
        <v>45037</v>
      </c>
      <c r="B25" s="321" t="s">
        <v>653</v>
      </c>
      <c r="C25" s="313"/>
      <c r="D25" s="311">
        <v>3</v>
      </c>
      <c r="E25" s="36" t="s">
        <v>684</v>
      </c>
      <c r="F25" s="36"/>
      <c r="G25" s="38"/>
      <c r="H25" s="38"/>
      <c r="I25" s="38">
        <v>2902.29</v>
      </c>
      <c r="J25" s="53">
        <f>I25/'통장내역(환율표)'!$D$92</f>
        <v>422.37244229705738</v>
      </c>
      <c r="K25" s="271">
        <f t="shared" si="1"/>
        <v>556236.86867047381</v>
      </c>
      <c r="L25" s="38">
        <f t="shared" si="2"/>
        <v>80949.628397903827</v>
      </c>
      <c r="M25" s="36" t="s">
        <v>644</v>
      </c>
      <c r="N25" s="45">
        <f t="shared" ref="N25:N79" si="3">N24-J25</f>
        <v>80949.627857131229</v>
      </c>
    </row>
    <row r="26" spans="1:14" s="5" customFormat="1" ht="13.5" customHeight="1">
      <c r="A26" s="36">
        <v>45037</v>
      </c>
      <c r="B26" s="321" t="s">
        <v>654</v>
      </c>
      <c r="C26" s="313"/>
      <c r="D26" s="311">
        <v>3</v>
      </c>
      <c r="E26" s="36" t="s">
        <v>684</v>
      </c>
      <c r="F26" s="36"/>
      <c r="G26" s="38"/>
      <c r="H26" s="38"/>
      <c r="I26" s="38">
        <v>15000</v>
      </c>
      <c r="J26" s="53">
        <f>I26/'통장내역(환율표)'!$D$92</f>
        <v>2182.9612597141777</v>
      </c>
      <c r="K26" s="271">
        <f t="shared" si="1"/>
        <v>541236.86867047381</v>
      </c>
      <c r="L26" s="38">
        <f t="shared" si="2"/>
        <v>78766.667138189645</v>
      </c>
      <c r="M26" s="36" t="s">
        <v>644</v>
      </c>
      <c r="N26" s="45">
        <f t="shared" si="3"/>
        <v>78766.666597417046</v>
      </c>
    </row>
    <row r="27" spans="1:14" s="5" customFormat="1" ht="13.5" customHeight="1">
      <c r="A27" s="36">
        <v>45037</v>
      </c>
      <c r="B27" s="321" t="s">
        <v>655</v>
      </c>
      <c r="C27" s="313"/>
      <c r="D27" s="311">
        <v>3</v>
      </c>
      <c r="E27" s="36" t="s">
        <v>684</v>
      </c>
      <c r="F27" s="36"/>
      <c r="G27" s="38"/>
      <c r="H27" s="38"/>
      <c r="I27" s="38">
        <v>22000</v>
      </c>
      <c r="J27" s="53">
        <f>I27/'통장내역(환율표)'!$D$92</f>
        <v>3201.6765142474605</v>
      </c>
      <c r="K27" s="271">
        <f t="shared" si="1"/>
        <v>519236.86867047381</v>
      </c>
      <c r="L27" s="38">
        <f t="shared" si="2"/>
        <v>75564.990623942183</v>
      </c>
      <c r="M27" s="36" t="s">
        <v>644</v>
      </c>
      <c r="N27" s="45">
        <f t="shared" si="3"/>
        <v>75564.990083169585</v>
      </c>
    </row>
    <row r="28" spans="1:14" s="5" customFormat="1" ht="13.5" customHeight="1">
      <c r="A28" s="36">
        <v>45037</v>
      </c>
      <c r="B28" s="321" t="s">
        <v>656</v>
      </c>
      <c r="C28" s="313"/>
      <c r="D28" s="311">
        <v>3</v>
      </c>
      <c r="E28" s="36" t="s">
        <v>684</v>
      </c>
      <c r="F28" s="36"/>
      <c r="G28" s="38"/>
      <c r="H28" s="38"/>
      <c r="I28" s="38">
        <v>300</v>
      </c>
      <c r="J28" s="53">
        <f>I28/'통장내역(환율표)'!$D$92</f>
        <v>43.659225194283557</v>
      </c>
      <c r="K28" s="271">
        <f t="shared" si="1"/>
        <v>518936.86867047381</v>
      </c>
      <c r="L28" s="38">
        <f t="shared" si="2"/>
        <v>75521.331398747905</v>
      </c>
      <c r="M28" s="36" t="s">
        <v>644</v>
      </c>
      <c r="N28" s="45">
        <f t="shared" si="3"/>
        <v>75521.330857975307</v>
      </c>
    </row>
    <row r="29" spans="1:14" s="5" customFormat="1" ht="13.5" customHeight="1">
      <c r="A29" s="36">
        <v>45037</v>
      </c>
      <c r="B29" s="321" t="s">
        <v>652</v>
      </c>
      <c r="C29" s="313"/>
      <c r="D29" s="311">
        <v>3</v>
      </c>
      <c r="E29" s="36" t="s">
        <v>684</v>
      </c>
      <c r="F29" s="36"/>
      <c r="G29" s="38"/>
      <c r="H29" s="38"/>
      <c r="I29" s="38">
        <v>4231.18</v>
      </c>
      <c r="J29" s="53">
        <f>I29/'통장내역(환율표)'!$D$92</f>
        <v>615.76680152516235</v>
      </c>
      <c r="K29" s="271">
        <f t="shared" si="1"/>
        <v>514705.68867047381</v>
      </c>
      <c r="L29" s="38">
        <f t="shared" si="2"/>
        <v>74905.564597222736</v>
      </c>
      <c r="M29" s="36" t="s">
        <v>645</v>
      </c>
      <c r="N29" s="45">
        <f t="shared" si="3"/>
        <v>74905.564056450137</v>
      </c>
    </row>
    <row r="30" spans="1:14" s="5" customFormat="1" ht="13.5" customHeight="1">
      <c r="A30" s="36">
        <v>45037</v>
      </c>
      <c r="B30" s="321" t="s">
        <v>653</v>
      </c>
      <c r="C30" s="313"/>
      <c r="D30" s="311">
        <v>3</v>
      </c>
      <c r="E30" s="36" t="s">
        <v>684</v>
      </c>
      <c r="F30" s="36"/>
      <c r="G30" s="38"/>
      <c r="H30" s="38"/>
      <c r="I30" s="38">
        <v>564.29000000000087</v>
      </c>
      <c r="J30" s="53">
        <f>I30/'통장내역(환율표)'!$D$92</f>
        <v>82.121547282941023</v>
      </c>
      <c r="K30" s="271">
        <f t="shared" si="1"/>
        <v>514141.39867047383</v>
      </c>
      <c r="L30" s="38">
        <f t="shared" si="2"/>
        <v>74823.4430499398</v>
      </c>
      <c r="M30" s="36" t="s">
        <v>645</v>
      </c>
      <c r="N30" s="45">
        <f t="shared" si="3"/>
        <v>74823.442509167202</v>
      </c>
    </row>
    <row r="31" spans="1:14" s="5" customFormat="1" ht="13.5" customHeight="1">
      <c r="A31" s="36">
        <v>45037</v>
      </c>
      <c r="B31" s="321" t="s">
        <v>654</v>
      </c>
      <c r="C31" s="313"/>
      <c r="D31" s="311">
        <v>3</v>
      </c>
      <c r="E31" s="36" t="s">
        <v>684</v>
      </c>
      <c r="F31" s="36"/>
      <c r="G31" s="38"/>
      <c r="H31" s="38"/>
      <c r="I31" s="38">
        <v>15000</v>
      </c>
      <c r="J31" s="53">
        <f>I31/'통장내역(환율표)'!$D$92</f>
        <v>2182.9612597141777</v>
      </c>
      <c r="K31" s="271">
        <f t="shared" si="1"/>
        <v>499141.39867047383</v>
      </c>
      <c r="L31" s="38">
        <f t="shared" si="2"/>
        <v>72640.481790225618</v>
      </c>
      <c r="M31" s="36" t="s">
        <v>645</v>
      </c>
      <c r="N31" s="45">
        <f t="shared" si="3"/>
        <v>72640.48124945302</v>
      </c>
    </row>
    <row r="32" spans="1:14" s="5" customFormat="1" ht="13.5" customHeight="1">
      <c r="A32" s="36">
        <v>45037</v>
      </c>
      <c r="B32" s="321" t="s">
        <v>655</v>
      </c>
      <c r="C32" s="313"/>
      <c r="D32" s="311">
        <v>3</v>
      </c>
      <c r="E32" s="36" t="s">
        <v>684</v>
      </c>
      <c r="F32" s="36"/>
      <c r="G32" s="38"/>
      <c r="H32" s="38"/>
      <c r="I32" s="38">
        <v>22000</v>
      </c>
      <c r="J32" s="53">
        <f>I32/'통장내역(환율표)'!$D$92</f>
        <v>3201.6765142474605</v>
      </c>
      <c r="K32" s="271">
        <f t="shared" si="1"/>
        <v>477141.39867047383</v>
      </c>
      <c r="L32" s="38">
        <f t="shared" si="2"/>
        <v>69438.805275978157</v>
      </c>
      <c r="M32" s="36" t="s">
        <v>645</v>
      </c>
      <c r="N32" s="45">
        <f t="shared" si="3"/>
        <v>69438.804735205558</v>
      </c>
    </row>
    <row r="33" spans="1:14" s="5" customFormat="1" ht="13.5" customHeight="1">
      <c r="A33" s="36">
        <v>45037</v>
      </c>
      <c r="B33" s="321" t="s">
        <v>656</v>
      </c>
      <c r="C33" s="313"/>
      <c r="D33" s="311">
        <v>3</v>
      </c>
      <c r="E33" s="36" t="s">
        <v>684</v>
      </c>
      <c r="F33" s="36"/>
      <c r="G33" s="38"/>
      <c r="H33" s="38"/>
      <c r="I33" s="38">
        <v>300</v>
      </c>
      <c r="J33" s="53">
        <f>I33/'통장내역(환율표)'!$D$92</f>
        <v>43.659225194283557</v>
      </c>
      <c r="K33" s="271">
        <f t="shared" si="1"/>
        <v>476841.39867047383</v>
      </c>
      <c r="L33" s="38">
        <f t="shared" si="2"/>
        <v>69395.146050783878</v>
      </c>
      <c r="M33" s="36" t="s">
        <v>645</v>
      </c>
      <c r="N33" s="45">
        <f t="shared" si="3"/>
        <v>69395.14551001128</v>
      </c>
    </row>
    <row r="34" spans="1:14" s="5" customFormat="1" ht="13.5" customHeight="1">
      <c r="A34" s="36">
        <v>45037</v>
      </c>
      <c r="B34" s="321" t="s">
        <v>848</v>
      </c>
      <c r="C34" s="313"/>
      <c r="D34" s="311">
        <v>3</v>
      </c>
      <c r="E34" s="36" t="s">
        <v>684</v>
      </c>
      <c r="F34" s="36"/>
      <c r="G34" s="38"/>
      <c r="H34" s="38"/>
      <c r="I34" s="38">
        <v>5043.1899999999996</v>
      </c>
      <c r="J34" s="53">
        <f>I34/'통장내역(환율표)'!$D$92</f>
        <v>733.9392263585296</v>
      </c>
      <c r="K34" s="271">
        <f t="shared" si="1"/>
        <v>471798.20867047383</v>
      </c>
      <c r="L34" s="38">
        <f t="shared" si="2"/>
        <v>68661.206824425346</v>
      </c>
      <c r="M34" s="36" t="s">
        <v>646</v>
      </c>
      <c r="N34" s="45">
        <f t="shared" si="3"/>
        <v>68661.206283652748</v>
      </c>
    </row>
    <row r="35" spans="1:14" s="5" customFormat="1" ht="13.5" customHeight="1">
      <c r="A35" s="36">
        <v>45037</v>
      </c>
      <c r="B35" s="321" t="s">
        <v>657</v>
      </c>
      <c r="C35" s="313"/>
      <c r="D35" s="311">
        <v>3</v>
      </c>
      <c r="E35" s="36" t="s">
        <v>684</v>
      </c>
      <c r="F35" s="36"/>
      <c r="G35" s="38"/>
      <c r="H35" s="38"/>
      <c r="I35" s="38">
        <v>25000</v>
      </c>
      <c r="J35" s="53">
        <f>I35/'통장내역(환율표)'!$D$92</f>
        <v>3638.2687661902964</v>
      </c>
      <c r="K35" s="271">
        <f t="shared" ref="K35:K79" si="4">K34+G35-I35</f>
        <v>446798.20867047383</v>
      </c>
      <c r="L35" s="38">
        <f t="shared" ref="L35:L79" si="5">L34+H35-J35</f>
        <v>65022.93805823505</v>
      </c>
      <c r="M35" s="36" t="s">
        <v>646</v>
      </c>
      <c r="N35" s="45">
        <f t="shared" si="3"/>
        <v>65022.937517462451</v>
      </c>
    </row>
    <row r="36" spans="1:14" s="5" customFormat="1" ht="13.5" customHeight="1">
      <c r="A36" s="36">
        <v>45037</v>
      </c>
      <c r="B36" s="321" t="s">
        <v>881</v>
      </c>
      <c r="C36" s="313"/>
      <c r="D36" s="311">
        <v>3</v>
      </c>
      <c r="E36" s="36" t="s">
        <v>684</v>
      </c>
      <c r="F36" s="36"/>
      <c r="G36" s="38"/>
      <c r="H36" s="38"/>
      <c r="I36" s="38">
        <v>300</v>
      </c>
      <c r="J36" s="53">
        <f>I36/'통장내역(환율표)'!$D$92</f>
        <v>43.659225194283557</v>
      </c>
      <c r="K36" s="271">
        <f t="shared" si="4"/>
        <v>446498.20867047383</v>
      </c>
      <c r="L36" s="38">
        <f t="shared" si="5"/>
        <v>64979.278833040764</v>
      </c>
      <c r="M36" s="36" t="s">
        <v>646</v>
      </c>
      <c r="N36" s="45">
        <f t="shared" si="3"/>
        <v>64979.278292268165</v>
      </c>
    </row>
    <row r="37" spans="1:14" s="5" customFormat="1" ht="13.5" customHeight="1">
      <c r="A37" s="36">
        <v>45037</v>
      </c>
      <c r="B37" s="321" t="s">
        <v>658</v>
      </c>
      <c r="C37" s="313"/>
      <c r="D37" s="311">
        <v>4</v>
      </c>
      <c r="E37" s="36" t="s">
        <v>684</v>
      </c>
      <c r="F37" s="36"/>
      <c r="G37" s="38"/>
      <c r="H37" s="38"/>
      <c r="I37" s="38">
        <v>12</v>
      </c>
      <c r="J37" s="53">
        <f>I37/'통장내역(환율표)'!$D$92</f>
        <v>1.7463690077713423</v>
      </c>
      <c r="K37" s="271">
        <f t="shared" si="4"/>
        <v>446486.20867047383</v>
      </c>
      <c r="L37" s="38">
        <f t="shared" si="5"/>
        <v>64977.532464032993</v>
      </c>
      <c r="M37" s="36"/>
      <c r="N37" s="45">
        <f t="shared" si="3"/>
        <v>64977.531923260394</v>
      </c>
    </row>
    <row r="38" spans="1:14" s="5" customFormat="1" ht="13.5" customHeight="1">
      <c r="A38" s="36">
        <v>45037</v>
      </c>
      <c r="B38" s="321" t="s">
        <v>659</v>
      </c>
      <c r="C38" s="313"/>
      <c r="D38" s="311">
        <v>5</v>
      </c>
      <c r="E38" s="36" t="s">
        <v>685</v>
      </c>
      <c r="F38" s="36" t="s">
        <v>686</v>
      </c>
      <c r="G38" s="38"/>
      <c r="H38" s="38"/>
      <c r="I38" s="38">
        <v>20606</v>
      </c>
      <c r="J38" s="53">
        <f>I38/'통장내역(환율표)'!$D$92</f>
        <v>2998.8066478446899</v>
      </c>
      <c r="K38" s="271">
        <f t="shared" si="4"/>
        <v>425880.20867047383</v>
      </c>
      <c r="L38" s="38">
        <f t="shared" si="5"/>
        <v>61978.7258161883</v>
      </c>
      <c r="M38" s="36"/>
      <c r="N38" s="45">
        <f t="shared" si="3"/>
        <v>61978.725275415702</v>
      </c>
    </row>
    <row r="39" spans="1:14" s="5" customFormat="1" ht="13.5" customHeight="1">
      <c r="A39" s="36">
        <v>45037</v>
      </c>
      <c r="B39" s="321" t="s">
        <v>658</v>
      </c>
      <c r="C39" s="313"/>
      <c r="D39" s="311">
        <v>6</v>
      </c>
      <c r="E39" s="36" t="s">
        <v>684</v>
      </c>
      <c r="F39" s="36"/>
      <c r="G39" s="38"/>
      <c r="H39" s="38"/>
      <c r="I39" s="38">
        <v>7.2</v>
      </c>
      <c r="J39" s="53">
        <f>I39/'통장내역(환율표)'!$D$92</f>
        <v>1.0478214046628054</v>
      </c>
      <c r="K39" s="271">
        <f t="shared" si="4"/>
        <v>425873.00867047382</v>
      </c>
      <c r="L39" s="38">
        <f t="shared" si="5"/>
        <v>61977.67799478364</v>
      </c>
      <c r="M39" s="36"/>
      <c r="N39" s="45">
        <f t="shared" si="3"/>
        <v>61977.677454011042</v>
      </c>
    </row>
    <row r="40" spans="1:14" s="5" customFormat="1" ht="13.5" customHeight="1">
      <c r="A40" s="36">
        <v>45037</v>
      </c>
      <c r="B40" s="321" t="s">
        <v>660</v>
      </c>
      <c r="C40" s="313"/>
      <c r="D40" s="311">
        <v>7</v>
      </c>
      <c r="E40" s="36" t="s">
        <v>684</v>
      </c>
      <c r="F40" s="36"/>
      <c r="G40" s="38"/>
      <c r="H40" s="38"/>
      <c r="I40" s="38">
        <v>321.18</v>
      </c>
      <c r="J40" s="53">
        <f>I40/'통장내역(환율표)'!$D$92</f>
        <v>46.741566492999972</v>
      </c>
      <c r="K40" s="271">
        <f t="shared" si="4"/>
        <v>425551.82867047383</v>
      </c>
      <c r="L40" s="38">
        <f t="shared" si="5"/>
        <v>61930.936428290639</v>
      </c>
      <c r="M40" s="36"/>
      <c r="N40" s="45">
        <f t="shared" si="3"/>
        <v>61930.935887518041</v>
      </c>
    </row>
    <row r="41" spans="1:14" s="5" customFormat="1" ht="13.5" customHeight="1">
      <c r="A41" s="36">
        <v>45037</v>
      </c>
      <c r="B41" s="321" t="s">
        <v>658</v>
      </c>
      <c r="C41" s="313"/>
      <c r="D41" s="311">
        <v>8</v>
      </c>
      <c r="E41" s="36" t="s">
        <v>684</v>
      </c>
      <c r="F41" s="36"/>
      <c r="G41" s="38"/>
      <c r="H41" s="38"/>
      <c r="I41" s="38">
        <v>3.6</v>
      </c>
      <c r="J41" s="53">
        <f>I41/'통장내역(환율표)'!$D$92</f>
        <v>0.52391070233140269</v>
      </c>
      <c r="K41" s="271">
        <f t="shared" si="4"/>
        <v>425548.22867047385</v>
      </c>
      <c r="L41" s="38">
        <f t="shared" si="5"/>
        <v>61930.412517588309</v>
      </c>
      <c r="M41" s="36"/>
      <c r="N41" s="45">
        <f t="shared" si="3"/>
        <v>61930.411976815711</v>
      </c>
    </row>
    <row r="42" spans="1:14" s="5" customFormat="1" ht="13.5" customHeight="1">
      <c r="A42" s="36">
        <v>45037</v>
      </c>
      <c r="B42" s="321" t="s">
        <v>661</v>
      </c>
      <c r="C42" s="313"/>
      <c r="D42" s="311">
        <v>10</v>
      </c>
      <c r="E42" s="36" t="s">
        <v>685</v>
      </c>
      <c r="F42" s="36" t="s">
        <v>687</v>
      </c>
      <c r="G42" s="38"/>
      <c r="H42" s="38"/>
      <c r="I42" s="38">
        <v>10500</v>
      </c>
      <c r="J42" s="53">
        <f>I42/'통장내역(환율표)'!$D$92</f>
        <v>1528.0728817999245</v>
      </c>
      <c r="K42" s="271">
        <f t="shared" si="4"/>
        <v>415048.22867047385</v>
      </c>
      <c r="L42" s="38">
        <f t="shared" si="5"/>
        <v>60402.339635788383</v>
      </c>
      <c r="M42" s="36"/>
      <c r="N42" s="45">
        <f t="shared" si="3"/>
        <v>60402.339095015785</v>
      </c>
    </row>
    <row r="43" spans="1:14" s="5" customFormat="1" ht="13.5" customHeight="1">
      <c r="A43" s="36">
        <v>45037</v>
      </c>
      <c r="B43" s="321" t="s">
        <v>662</v>
      </c>
      <c r="C43" s="313"/>
      <c r="D43" s="311">
        <v>10</v>
      </c>
      <c r="E43" s="36" t="s">
        <v>684</v>
      </c>
      <c r="F43" s="36"/>
      <c r="G43" s="38"/>
      <c r="H43" s="38"/>
      <c r="I43" s="38">
        <v>6000</v>
      </c>
      <c r="J43" s="53">
        <f>I43/'통장내역(환율표)'!$D$92</f>
        <v>873.18450388567112</v>
      </c>
      <c r="K43" s="271">
        <f t="shared" si="4"/>
        <v>409048.22867047385</v>
      </c>
      <c r="L43" s="38">
        <f t="shared" si="5"/>
        <v>59529.155131902713</v>
      </c>
      <c r="M43" s="36"/>
      <c r="N43" s="45">
        <f t="shared" si="3"/>
        <v>59529.154591130115</v>
      </c>
    </row>
    <row r="44" spans="1:14" s="5" customFormat="1" ht="13.5" customHeight="1">
      <c r="A44" s="36">
        <v>45037</v>
      </c>
      <c r="B44" s="321" t="s">
        <v>351</v>
      </c>
      <c r="C44" s="313"/>
      <c r="D44" s="311">
        <v>10</v>
      </c>
      <c r="E44" s="36" t="s">
        <v>684</v>
      </c>
      <c r="F44" s="36"/>
      <c r="G44" s="38"/>
      <c r="H44" s="38"/>
      <c r="I44" s="38">
        <v>720</v>
      </c>
      <c r="J44" s="53">
        <f>I44/'통장내역(환율표)'!$D$92</f>
        <v>104.78214046628054</v>
      </c>
      <c r="K44" s="271">
        <f t="shared" si="4"/>
        <v>408328.22867047385</v>
      </c>
      <c r="L44" s="38">
        <f t="shared" si="5"/>
        <v>59424.37299143643</v>
      </c>
      <c r="M44" s="36"/>
      <c r="N44" s="45">
        <f t="shared" si="3"/>
        <v>59424.372450663832</v>
      </c>
    </row>
    <row r="45" spans="1:14" s="5" customFormat="1" ht="13.5" customHeight="1">
      <c r="A45" s="36">
        <v>45037</v>
      </c>
      <c r="B45" s="321" t="s">
        <v>658</v>
      </c>
      <c r="C45" s="313"/>
      <c r="D45" s="311">
        <v>11</v>
      </c>
      <c r="E45" s="36" t="s">
        <v>684</v>
      </c>
      <c r="F45" s="36"/>
      <c r="G45" s="38"/>
      <c r="H45" s="38"/>
      <c r="I45" s="38">
        <v>7.2</v>
      </c>
      <c r="J45" s="53">
        <f>I45/'통장내역(환율표)'!$D$92</f>
        <v>1.0478214046628054</v>
      </c>
      <c r="K45" s="271">
        <f t="shared" si="4"/>
        <v>408321.02867047384</v>
      </c>
      <c r="L45" s="38">
        <f t="shared" si="5"/>
        <v>59423.325170031771</v>
      </c>
      <c r="M45" s="36"/>
      <c r="N45" s="45">
        <f t="shared" si="3"/>
        <v>59423.324629259172</v>
      </c>
    </row>
    <row r="46" spans="1:14" s="5" customFormat="1" ht="13.5" customHeight="1">
      <c r="A46" s="36">
        <v>45037</v>
      </c>
      <c r="B46" s="321" t="s">
        <v>663</v>
      </c>
      <c r="C46" s="313"/>
      <c r="D46" s="311">
        <v>12</v>
      </c>
      <c r="E46" s="36" t="s">
        <v>684</v>
      </c>
      <c r="F46" s="36"/>
      <c r="G46" s="38"/>
      <c r="H46" s="38"/>
      <c r="I46" s="38">
        <v>3838</v>
      </c>
      <c r="J46" s="53">
        <f>I46/'통장내역(환율표)'!$D$92</f>
        <v>558.54702098553423</v>
      </c>
      <c r="K46" s="271">
        <f t="shared" si="4"/>
        <v>404483.02867047384</v>
      </c>
      <c r="L46" s="38">
        <f t="shared" si="5"/>
        <v>58864.778149046237</v>
      </c>
      <c r="M46" s="36"/>
      <c r="N46" s="45">
        <f t="shared" si="3"/>
        <v>58864.777608273638</v>
      </c>
    </row>
    <row r="47" spans="1:14" s="5" customFormat="1" ht="13.5" customHeight="1">
      <c r="A47" s="36">
        <v>45037</v>
      </c>
      <c r="B47" s="321" t="s">
        <v>658</v>
      </c>
      <c r="C47" s="313"/>
      <c r="D47" s="311">
        <v>13</v>
      </c>
      <c r="E47" s="36" t="s">
        <v>684</v>
      </c>
      <c r="F47" s="36"/>
      <c r="G47" s="38"/>
      <c r="H47" s="38"/>
      <c r="I47" s="38">
        <v>3.6</v>
      </c>
      <c r="J47" s="53">
        <f>I47/'통장내역(환율표)'!$D$92</f>
        <v>0.52391070233140269</v>
      </c>
      <c r="K47" s="271">
        <f t="shared" si="4"/>
        <v>404479.42867047386</v>
      </c>
      <c r="L47" s="38">
        <f t="shared" si="5"/>
        <v>58864.254238343907</v>
      </c>
      <c r="M47" s="36"/>
      <c r="N47" s="45">
        <f t="shared" si="3"/>
        <v>58864.253697571308</v>
      </c>
    </row>
    <row r="48" spans="1:14" s="5" customFormat="1" ht="13.5" customHeight="1">
      <c r="A48" s="36">
        <v>45037</v>
      </c>
      <c r="B48" s="321" t="s">
        <v>664</v>
      </c>
      <c r="C48" s="313"/>
      <c r="D48" s="311">
        <v>14</v>
      </c>
      <c r="E48" s="36" t="s">
        <v>684</v>
      </c>
      <c r="F48" s="36"/>
      <c r="G48" s="38"/>
      <c r="H48" s="38"/>
      <c r="I48" s="38">
        <v>484.7</v>
      </c>
      <c r="J48" s="53">
        <f>I48/'통장내역(환율표)'!$D$92</f>
        <v>70.538754838897461</v>
      </c>
      <c r="K48" s="271">
        <f t="shared" si="4"/>
        <v>403994.72867047385</v>
      </c>
      <c r="L48" s="38">
        <f t="shared" si="5"/>
        <v>58793.71548350501</v>
      </c>
      <c r="M48" s="36"/>
      <c r="N48" s="45">
        <f t="shared" si="3"/>
        <v>58793.714942732411</v>
      </c>
    </row>
    <row r="49" spans="1:14" s="5" customFormat="1" ht="13.5" customHeight="1">
      <c r="A49" s="36">
        <v>45037</v>
      </c>
      <c r="B49" s="321" t="s">
        <v>665</v>
      </c>
      <c r="C49" s="313"/>
      <c r="D49" s="311">
        <v>15</v>
      </c>
      <c r="E49" s="36" t="s">
        <v>688</v>
      </c>
      <c r="F49" s="36" t="s">
        <v>689</v>
      </c>
      <c r="G49" s="38"/>
      <c r="H49" s="38"/>
      <c r="I49" s="38">
        <v>98.5</v>
      </c>
      <c r="J49" s="53">
        <f>I49/'통장내역(환율표)'!$D$92</f>
        <v>14.334778938789768</v>
      </c>
      <c r="K49" s="271">
        <f t="shared" si="4"/>
        <v>403896.22867047385</v>
      </c>
      <c r="L49" s="38">
        <f t="shared" si="5"/>
        <v>58779.380704566218</v>
      </c>
      <c r="M49" s="36"/>
      <c r="N49" s="45">
        <f t="shared" si="3"/>
        <v>58779.380163793619</v>
      </c>
    </row>
    <row r="50" spans="1:14" s="5" customFormat="1" ht="13.5" customHeight="1">
      <c r="A50" s="36">
        <v>45037</v>
      </c>
      <c r="B50" s="321" t="s">
        <v>666</v>
      </c>
      <c r="C50" s="313"/>
      <c r="D50" s="311">
        <v>16</v>
      </c>
      <c r="E50" s="36" t="s">
        <v>690</v>
      </c>
      <c r="F50" s="36" t="s">
        <v>691</v>
      </c>
      <c r="G50" s="38"/>
      <c r="H50" s="38"/>
      <c r="I50" s="38">
        <v>246.77</v>
      </c>
      <c r="J50" s="53">
        <f>I50/'통장내역(환율표)'!$D$92</f>
        <v>35.912623337311175</v>
      </c>
      <c r="K50" s="271">
        <f t="shared" si="4"/>
        <v>403649.45867047383</v>
      </c>
      <c r="L50" s="38">
        <f t="shared" si="5"/>
        <v>58743.468081228908</v>
      </c>
      <c r="M50" s="36"/>
      <c r="N50" s="45">
        <f t="shared" si="3"/>
        <v>58743.46754045631</v>
      </c>
    </row>
    <row r="51" spans="1:14" s="5" customFormat="1" ht="13.5" customHeight="1">
      <c r="A51" s="36">
        <v>45037</v>
      </c>
      <c r="B51" s="321" t="s">
        <v>658</v>
      </c>
      <c r="C51" s="313"/>
      <c r="D51" s="311">
        <v>17</v>
      </c>
      <c r="E51" s="36" t="s">
        <v>684</v>
      </c>
      <c r="F51" s="36"/>
      <c r="G51" s="38"/>
      <c r="H51" s="38"/>
      <c r="I51" s="38">
        <v>3.6</v>
      </c>
      <c r="J51" s="53">
        <f>I51/'통장내역(환율표)'!$D$92</f>
        <v>0.52391070233140269</v>
      </c>
      <c r="K51" s="271">
        <f t="shared" si="4"/>
        <v>403645.85867047386</v>
      </c>
      <c r="L51" s="38">
        <f t="shared" si="5"/>
        <v>58742.944170526578</v>
      </c>
      <c r="M51" s="36"/>
      <c r="N51" s="45">
        <f t="shared" si="3"/>
        <v>58742.94362975398</v>
      </c>
    </row>
    <row r="52" spans="1:14" s="5" customFormat="1" ht="13.5" customHeight="1">
      <c r="A52" s="36">
        <v>45037</v>
      </c>
      <c r="B52" s="321" t="s">
        <v>667</v>
      </c>
      <c r="C52" s="313"/>
      <c r="D52" s="311">
        <v>18</v>
      </c>
      <c r="E52" s="36" t="s">
        <v>690</v>
      </c>
      <c r="F52" s="36" t="s">
        <v>691</v>
      </c>
      <c r="G52" s="38"/>
      <c r="H52" s="38"/>
      <c r="I52" s="38">
        <v>983</v>
      </c>
      <c r="J52" s="53">
        <f>I52/'통장내역(환율표)'!$D$92</f>
        <v>143.05672788660246</v>
      </c>
      <c r="K52" s="271">
        <f t="shared" si="4"/>
        <v>402662.85867047386</v>
      </c>
      <c r="L52" s="38">
        <f t="shared" si="5"/>
        <v>58599.887442639978</v>
      </c>
      <c r="M52" s="36"/>
      <c r="N52" s="45">
        <f t="shared" si="3"/>
        <v>58599.886901867379</v>
      </c>
    </row>
    <row r="53" spans="1:14" s="5" customFormat="1" ht="13.5" customHeight="1">
      <c r="A53" s="36">
        <v>45037</v>
      </c>
      <c r="B53" s="321" t="s">
        <v>668</v>
      </c>
      <c r="C53" s="313"/>
      <c r="D53" s="311">
        <v>19</v>
      </c>
      <c r="E53" s="36" t="s">
        <v>690</v>
      </c>
      <c r="F53" s="36" t="s">
        <v>691</v>
      </c>
      <c r="G53" s="38"/>
      <c r="H53" s="38"/>
      <c r="I53" s="38">
        <v>2566</v>
      </c>
      <c r="J53" s="53">
        <f>I53/'통장내역(환율표)'!$D$92</f>
        <v>373.43190616177202</v>
      </c>
      <c r="K53" s="271">
        <f t="shared" si="4"/>
        <v>400096.85867047386</v>
      </c>
      <c r="L53" s="38">
        <f t="shared" si="5"/>
        <v>58226.455536478206</v>
      </c>
      <c r="M53" s="36"/>
      <c r="N53" s="45">
        <f t="shared" si="3"/>
        <v>58226.454995705608</v>
      </c>
    </row>
    <row r="54" spans="1:14" s="5" customFormat="1" ht="13.5" customHeight="1">
      <c r="A54" s="36">
        <v>45037</v>
      </c>
      <c r="B54" s="321" t="s">
        <v>669</v>
      </c>
      <c r="C54" s="313"/>
      <c r="D54" s="311">
        <v>20</v>
      </c>
      <c r="E54" s="36" t="s">
        <v>690</v>
      </c>
      <c r="F54" s="36" t="s">
        <v>691</v>
      </c>
      <c r="G54" s="38"/>
      <c r="H54" s="38"/>
      <c r="I54" s="38">
        <v>184</v>
      </c>
      <c r="J54" s="53">
        <f>I54/'통장내역(환율표)'!$D$92</f>
        <v>26.777658119160581</v>
      </c>
      <c r="K54" s="271">
        <f t="shared" si="4"/>
        <v>399912.85867047386</v>
      </c>
      <c r="L54" s="38">
        <f t="shared" si="5"/>
        <v>58199.677878359049</v>
      </c>
      <c r="M54" s="36"/>
      <c r="N54" s="45">
        <f t="shared" si="3"/>
        <v>58199.67733758645</v>
      </c>
    </row>
    <row r="55" spans="1:14" s="5" customFormat="1" ht="13.5" customHeight="1">
      <c r="A55" s="36">
        <v>45037</v>
      </c>
      <c r="B55" s="321" t="s">
        <v>658</v>
      </c>
      <c r="C55" s="313"/>
      <c r="D55" s="311">
        <v>21</v>
      </c>
      <c r="E55" s="36" t="s">
        <v>684</v>
      </c>
      <c r="F55" s="36"/>
      <c r="G55" s="38"/>
      <c r="H55" s="38"/>
      <c r="I55" s="38">
        <v>3.6</v>
      </c>
      <c r="J55" s="53">
        <f>I55/'통장내역(환율표)'!$D$92</f>
        <v>0.52391070233140269</v>
      </c>
      <c r="K55" s="271">
        <f t="shared" si="4"/>
        <v>399909.25867047388</v>
      </c>
      <c r="L55" s="38">
        <f t="shared" si="5"/>
        <v>58199.153967656719</v>
      </c>
      <c r="M55" s="36"/>
      <c r="N55" s="45">
        <f t="shared" si="3"/>
        <v>58199.153426884121</v>
      </c>
    </row>
    <row r="56" spans="1:14" s="5" customFormat="1" ht="13.5" customHeight="1">
      <c r="A56" s="36">
        <v>45037</v>
      </c>
      <c r="B56" s="321" t="s">
        <v>670</v>
      </c>
      <c r="C56" s="313"/>
      <c r="D56" s="311">
        <v>22</v>
      </c>
      <c r="E56" s="36" t="s">
        <v>692</v>
      </c>
      <c r="F56" s="36" t="s">
        <v>693</v>
      </c>
      <c r="G56" s="38"/>
      <c r="H56" s="38"/>
      <c r="I56" s="38">
        <v>2694</v>
      </c>
      <c r="J56" s="53">
        <f>I56/'통장내역(환율표)'!$D$92</f>
        <v>392.0598422446663</v>
      </c>
      <c r="K56" s="271">
        <f t="shared" si="4"/>
        <v>397215.25867047388</v>
      </c>
      <c r="L56" s="38">
        <f t="shared" si="5"/>
        <v>57807.094125412055</v>
      </c>
      <c r="M56" s="36"/>
      <c r="N56" s="45">
        <f t="shared" si="3"/>
        <v>57807.093584639457</v>
      </c>
    </row>
    <row r="57" spans="1:14" s="5" customFormat="1" ht="13.5" customHeight="1">
      <c r="A57" s="36">
        <v>45037</v>
      </c>
      <c r="B57" s="321" t="s">
        <v>658</v>
      </c>
      <c r="C57" s="313"/>
      <c r="D57" s="311">
        <v>23</v>
      </c>
      <c r="E57" s="36" t="s">
        <v>684</v>
      </c>
      <c r="F57" s="36"/>
      <c r="G57" s="38"/>
      <c r="H57" s="38"/>
      <c r="I57" s="38">
        <v>3.6</v>
      </c>
      <c r="J57" s="53">
        <f>I57/'통장내역(환율표)'!$D$92</f>
        <v>0.52391070233140269</v>
      </c>
      <c r="K57" s="271">
        <f t="shared" si="4"/>
        <v>397211.6586704739</v>
      </c>
      <c r="L57" s="38">
        <f t="shared" si="5"/>
        <v>57806.570214709725</v>
      </c>
      <c r="M57" s="36"/>
      <c r="N57" s="45">
        <f t="shared" si="3"/>
        <v>57806.569673937127</v>
      </c>
    </row>
    <row r="58" spans="1:14" s="5" customFormat="1" ht="13.5" customHeight="1">
      <c r="A58" s="36">
        <v>45037</v>
      </c>
      <c r="B58" s="321" t="s">
        <v>671</v>
      </c>
      <c r="C58" s="313"/>
      <c r="D58" s="311">
        <v>24</v>
      </c>
      <c r="E58" s="36" t="s">
        <v>684</v>
      </c>
      <c r="F58" s="36"/>
      <c r="G58" s="38"/>
      <c r="H58" s="38"/>
      <c r="I58" s="38">
        <v>717.1</v>
      </c>
      <c r="J58" s="53">
        <f>I58/'통장내역(환율표)'!$D$92</f>
        <v>104.36010128940246</v>
      </c>
      <c r="K58" s="271">
        <f t="shared" si="4"/>
        <v>396494.55867047393</v>
      </c>
      <c r="L58" s="38">
        <f t="shared" si="5"/>
        <v>57702.210113420326</v>
      </c>
      <c r="M58" s="36"/>
      <c r="N58" s="45">
        <f t="shared" si="3"/>
        <v>57702.209572647727</v>
      </c>
    </row>
    <row r="59" spans="1:14" s="5" customFormat="1" ht="13.5" customHeight="1">
      <c r="A59" s="36">
        <v>45037</v>
      </c>
      <c r="B59" s="321" t="s">
        <v>658</v>
      </c>
      <c r="C59" s="313"/>
      <c r="D59" s="311">
        <v>25</v>
      </c>
      <c r="E59" s="36" t="s">
        <v>684</v>
      </c>
      <c r="F59" s="36"/>
      <c r="G59" s="38"/>
      <c r="H59" s="38"/>
      <c r="I59" s="38">
        <v>3.6</v>
      </c>
      <c r="J59" s="53">
        <f>I59/'통장내역(환율표)'!$D$92</f>
        <v>0.52391070233140269</v>
      </c>
      <c r="K59" s="271">
        <f t="shared" si="4"/>
        <v>396490.95867047395</v>
      </c>
      <c r="L59" s="38">
        <f t="shared" si="5"/>
        <v>57701.686202717996</v>
      </c>
      <c r="M59" s="36"/>
      <c r="N59" s="45">
        <f t="shared" si="3"/>
        <v>57701.685661945397</v>
      </c>
    </row>
    <row r="60" spans="1:14" s="5" customFormat="1" ht="13.5" customHeight="1">
      <c r="A60" s="36">
        <v>45037</v>
      </c>
      <c r="B60" s="321" t="s">
        <v>672</v>
      </c>
      <c r="C60" s="313"/>
      <c r="D60" s="311">
        <v>26</v>
      </c>
      <c r="E60" s="36" t="s">
        <v>690</v>
      </c>
      <c r="F60" s="36" t="s">
        <v>691</v>
      </c>
      <c r="G60" s="38"/>
      <c r="H60" s="38"/>
      <c r="I60" s="38">
        <v>11697.31</v>
      </c>
      <c r="J60" s="53">
        <f>I60/'통장내역(환율표)'!$D$92</f>
        <v>1702.3183048578164</v>
      </c>
      <c r="K60" s="271">
        <f t="shared" si="4"/>
        <v>384793.64867047395</v>
      </c>
      <c r="L60" s="38">
        <f t="shared" si="5"/>
        <v>55999.367897860182</v>
      </c>
      <c r="M60" s="36"/>
      <c r="N60" s="45">
        <f t="shared" si="3"/>
        <v>55999.367357087584</v>
      </c>
    </row>
    <row r="61" spans="1:14" s="5" customFormat="1" ht="13.5" customHeight="1">
      <c r="A61" s="36">
        <v>45037</v>
      </c>
      <c r="B61" s="321" t="s">
        <v>658</v>
      </c>
      <c r="C61" s="313"/>
      <c r="D61" s="311">
        <v>27</v>
      </c>
      <c r="E61" s="36" t="s">
        <v>684</v>
      </c>
      <c r="F61" s="36"/>
      <c r="G61" s="38"/>
      <c r="H61" s="38"/>
      <c r="I61" s="38">
        <v>7.2</v>
      </c>
      <c r="J61" s="53">
        <f>I61/'통장내역(환율표)'!$D$92</f>
        <v>1.0478214046628054</v>
      </c>
      <c r="K61" s="271">
        <f t="shared" si="4"/>
        <v>384786.44867047394</v>
      </c>
      <c r="L61" s="38">
        <f t="shared" si="5"/>
        <v>55998.320076455522</v>
      </c>
      <c r="M61" s="36"/>
      <c r="N61" s="45">
        <f t="shared" si="3"/>
        <v>55998.319535682924</v>
      </c>
    </row>
    <row r="62" spans="1:14" s="5" customFormat="1" ht="13.5" customHeight="1">
      <c r="A62" s="36">
        <v>45037</v>
      </c>
      <c r="B62" s="321" t="s">
        <v>673</v>
      </c>
      <c r="C62" s="313"/>
      <c r="D62" s="311">
        <v>28</v>
      </c>
      <c r="E62" s="36" t="s">
        <v>684</v>
      </c>
      <c r="F62" s="36"/>
      <c r="G62" s="38"/>
      <c r="H62" s="38"/>
      <c r="I62" s="38">
        <v>753</v>
      </c>
      <c r="J62" s="53">
        <f>I62/'통장내역(환율표)'!$D$92</f>
        <v>109.58465523765172</v>
      </c>
      <c r="K62" s="271">
        <f t="shared" si="4"/>
        <v>384033.44867047394</v>
      </c>
      <c r="L62" s="38">
        <f t="shared" si="5"/>
        <v>55888.735421217869</v>
      </c>
      <c r="M62" s="36"/>
      <c r="N62" s="45">
        <f t="shared" si="3"/>
        <v>55888.73488044527</v>
      </c>
    </row>
    <row r="63" spans="1:14" s="5" customFormat="1" ht="13.5" customHeight="1">
      <c r="A63" s="36">
        <v>45037</v>
      </c>
      <c r="B63" s="321" t="s">
        <v>674</v>
      </c>
      <c r="C63" s="313"/>
      <c r="D63" s="311">
        <v>29</v>
      </c>
      <c r="E63" s="36" t="s">
        <v>684</v>
      </c>
      <c r="F63" s="36"/>
      <c r="G63" s="38"/>
      <c r="H63" s="38"/>
      <c r="I63" s="38">
        <v>300</v>
      </c>
      <c r="J63" s="53">
        <f>I63/'통장내역(환율표)'!$D$92</f>
        <v>43.659225194283557</v>
      </c>
      <c r="K63" s="271">
        <f t="shared" si="4"/>
        <v>383733.44867047394</v>
      </c>
      <c r="L63" s="38">
        <f t="shared" si="5"/>
        <v>55845.076196023583</v>
      </c>
      <c r="M63" s="36"/>
      <c r="N63" s="45">
        <f t="shared" si="3"/>
        <v>55845.075655250985</v>
      </c>
    </row>
    <row r="64" spans="1:14" s="5" customFormat="1" ht="13.5" customHeight="1">
      <c r="A64" s="36">
        <v>45037</v>
      </c>
      <c r="B64" s="321" t="s">
        <v>675</v>
      </c>
      <c r="C64" s="313"/>
      <c r="D64" s="311">
        <v>30</v>
      </c>
      <c r="E64" s="36" t="s">
        <v>684</v>
      </c>
      <c r="F64" s="36"/>
      <c r="G64" s="38"/>
      <c r="H64" s="38"/>
      <c r="I64" s="38">
        <v>444.91</v>
      </c>
      <c r="J64" s="53">
        <f>I64/'통장내역(환율표)'!$D$92</f>
        <v>64.748086270628988</v>
      </c>
      <c r="K64" s="271">
        <f t="shared" si="4"/>
        <v>383288.53867047396</v>
      </c>
      <c r="L64" s="38">
        <f t="shared" si="5"/>
        <v>55780.328109752954</v>
      </c>
      <c r="M64" s="36"/>
      <c r="N64" s="45">
        <f t="shared" si="3"/>
        <v>55780.327568980356</v>
      </c>
    </row>
    <row r="65" spans="1:14" s="5" customFormat="1" ht="13.5" customHeight="1">
      <c r="A65" s="36">
        <v>45037</v>
      </c>
      <c r="B65" s="321" t="s">
        <v>676</v>
      </c>
      <c r="C65" s="313"/>
      <c r="D65" s="311">
        <v>31</v>
      </c>
      <c r="E65" s="36" t="s">
        <v>684</v>
      </c>
      <c r="F65" s="36"/>
      <c r="G65" s="38"/>
      <c r="H65" s="38"/>
      <c r="I65" s="38">
        <v>274.8</v>
      </c>
      <c r="J65" s="53">
        <f>I65/'통장내역(환율표)'!$D$92</f>
        <v>39.991850277963735</v>
      </c>
      <c r="K65" s="271">
        <f t="shared" si="4"/>
        <v>383013.73867047398</v>
      </c>
      <c r="L65" s="38">
        <f t="shared" si="5"/>
        <v>55740.336259474992</v>
      </c>
      <c r="M65" s="36"/>
      <c r="N65" s="45">
        <f t="shared" si="3"/>
        <v>55740.335718702394</v>
      </c>
    </row>
    <row r="66" spans="1:14" s="5" customFormat="1" ht="13.5" customHeight="1">
      <c r="A66" s="36">
        <v>45037</v>
      </c>
      <c r="B66" s="321" t="s">
        <v>658</v>
      </c>
      <c r="C66" s="313"/>
      <c r="D66" s="311">
        <v>32</v>
      </c>
      <c r="E66" s="36" t="s">
        <v>684</v>
      </c>
      <c r="F66" s="36"/>
      <c r="G66" s="38"/>
      <c r="H66" s="38"/>
      <c r="I66" s="38">
        <v>3.6</v>
      </c>
      <c r="J66" s="53">
        <f>I66/'통장내역(환율표)'!$D$92</f>
        <v>0.52391070233140269</v>
      </c>
      <c r="K66" s="271">
        <f t="shared" si="4"/>
        <v>383010.138670474</v>
      </c>
      <c r="L66" s="38">
        <f t="shared" si="5"/>
        <v>55739.812348772663</v>
      </c>
      <c r="M66" s="36"/>
      <c r="N66" s="45">
        <f t="shared" si="3"/>
        <v>55739.811808000064</v>
      </c>
    </row>
    <row r="67" spans="1:14" s="5" customFormat="1" ht="13.5" customHeight="1">
      <c r="A67" s="36">
        <v>45037</v>
      </c>
      <c r="B67" s="314" t="s">
        <v>677</v>
      </c>
      <c r="C67" s="313"/>
      <c r="D67" s="311">
        <v>33</v>
      </c>
      <c r="E67" s="36" t="s">
        <v>583</v>
      </c>
      <c r="F67" s="36"/>
      <c r="G67" s="38"/>
      <c r="H67" s="38"/>
      <c r="I67" s="38">
        <v>1620</v>
      </c>
      <c r="J67" s="53">
        <f>I67/'통장내역(환율표)'!$D$92</f>
        <v>235.75981604913119</v>
      </c>
      <c r="K67" s="271">
        <f t="shared" si="4"/>
        <v>381390.138670474</v>
      </c>
      <c r="L67" s="38">
        <f t="shared" si="5"/>
        <v>55504.05253272353</v>
      </c>
      <c r="M67" s="36" t="s">
        <v>648</v>
      </c>
      <c r="N67" s="45">
        <f t="shared" si="3"/>
        <v>55504.051991950932</v>
      </c>
    </row>
    <row r="68" spans="1:14" s="5" customFormat="1" ht="13.5" customHeight="1">
      <c r="A68" s="36">
        <v>45037</v>
      </c>
      <c r="B68" s="321" t="s">
        <v>658</v>
      </c>
      <c r="C68" s="313"/>
      <c r="D68" s="311">
        <v>34</v>
      </c>
      <c r="E68" s="36" t="s">
        <v>684</v>
      </c>
      <c r="F68" s="36"/>
      <c r="G68" s="38"/>
      <c r="H68" s="38"/>
      <c r="I68" s="38">
        <v>3.6</v>
      </c>
      <c r="J68" s="53">
        <f>I68/'통장내역(환율표)'!$D$92</f>
        <v>0.52391070233140269</v>
      </c>
      <c r="K68" s="271">
        <f t="shared" si="4"/>
        <v>381386.53867047402</v>
      </c>
      <c r="L68" s="38">
        <f t="shared" si="5"/>
        <v>55503.5286220212</v>
      </c>
      <c r="M68" s="36"/>
      <c r="N68" s="45">
        <f t="shared" si="3"/>
        <v>55503.528081248602</v>
      </c>
    </row>
    <row r="69" spans="1:14" s="5" customFormat="1" ht="13.5" customHeight="1">
      <c r="A69" s="36">
        <v>45037</v>
      </c>
      <c r="B69" s="314" t="s">
        <v>678</v>
      </c>
      <c r="C69" s="313"/>
      <c r="D69" s="311">
        <v>35</v>
      </c>
      <c r="E69" s="36" t="s">
        <v>583</v>
      </c>
      <c r="F69" s="36"/>
      <c r="G69" s="38"/>
      <c r="H69" s="38"/>
      <c r="I69" s="38">
        <v>1008</v>
      </c>
      <c r="J69" s="53">
        <f>I69/'통장내역(환율표)'!$D$92</f>
        <v>146.69499665279275</v>
      </c>
      <c r="K69" s="271">
        <f t="shared" si="4"/>
        <v>380378.53867047402</v>
      </c>
      <c r="L69" s="38">
        <f t="shared" si="5"/>
        <v>55356.83362536841</v>
      </c>
      <c r="M69" s="36" t="s">
        <v>648</v>
      </c>
      <c r="N69" s="45">
        <f t="shared" si="3"/>
        <v>55356.833084595812</v>
      </c>
    </row>
    <row r="70" spans="1:14" s="5" customFormat="1" ht="13.5" customHeight="1">
      <c r="A70" s="36">
        <v>45037</v>
      </c>
      <c r="B70" s="321" t="s">
        <v>658</v>
      </c>
      <c r="C70" s="313"/>
      <c r="D70" s="311">
        <v>36</v>
      </c>
      <c r="E70" s="36" t="s">
        <v>684</v>
      </c>
      <c r="F70" s="36"/>
      <c r="G70" s="38"/>
      <c r="H70" s="38"/>
      <c r="I70" s="38">
        <v>3.6</v>
      </c>
      <c r="J70" s="53">
        <f>I70/'통장내역(환율표)'!$D$92</f>
        <v>0.52391070233140269</v>
      </c>
      <c r="K70" s="271">
        <f t="shared" si="4"/>
        <v>380374.93867047405</v>
      </c>
      <c r="L70" s="38">
        <f t="shared" si="5"/>
        <v>55356.30971466608</v>
      </c>
      <c r="M70" s="36"/>
      <c r="N70" s="45">
        <f t="shared" si="3"/>
        <v>55356.309173893482</v>
      </c>
    </row>
    <row r="71" spans="1:14" s="5" customFormat="1" ht="13.5" customHeight="1">
      <c r="A71" s="36">
        <v>45037</v>
      </c>
      <c r="B71" s="321" t="s">
        <v>679</v>
      </c>
      <c r="C71" s="313"/>
      <c r="D71" s="311">
        <v>37</v>
      </c>
      <c r="E71" s="36" t="s">
        <v>690</v>
      </c>
      <c r="F71" s="36" t="s">
        <v>691</v>
      </c>
      <c r="G71" s="38"/>
      <c r="H71" s="38"/>
      <c r="I71" s="38">
        <v>9734.27</v>
      </c>
      <c r="J71" s="53">
        <f>I71/'통장내역(환율표)'!$D$92</f>
        <v>1416.6356201065287</v>
      </c>
      <c r="K71" s="271">
        <f t="shared" si="4"/>
        <v>370640.66867047403</v>
      </c>
      <c r="L71" s="38">
        <f t="shared" si="5"/>
        <v>53939.674094559552</v>
      </c>
      <c r="M71" s="36"/>
      <c r="N71" s="45">
        <f t="shared" si="3"/>
        <v>53939.673553786954</v>
      </c>
    </row>
    <row r="72" spans="1:14" s="5" customFormat="1" ht="13.5" customHeight="1">
      <c r="A72" s="36">
        <v>45037</v>
      </c>
      <c r="B72" s="321" t="s">
        <v>658</v>
      </c>
      <c r="C72" s="313"/>
      <c r="D72" s="311">
        <v>38</v>
      </c>
      <c r="E72" s="36" t="s">
        <v>684</v>
      </c>
      <c r="F72" s="36"/>
      <c r="G72" s="38"/>
      <c r="H72" s="38"/>
      <c r="I72" s="38">
        <v>3.6</v>
      </c>
      <c r="J72" s="53">
        <f>I72/'통장내역(환율표)'!$D$92</f>
        <v>0.52391070233140269</v>
      </c>
      <c r="K72" s="271">
        <f t="shared" si="4"/>
        <v>370637.06867047405</v>
      </c>
      <c r="L72" s="38">
        <f t="shared" si="5"/>
        <v>53939.150183857222</v>
      </c>
      <c r="M72" s="36"/>
      <c r="N72" s="45">
        <f t="shared" si="3"/>
        <v>53939.149643084624</v>
      </c>
    </row>
    <row r="73" spans="1:14" s="5" customFormat="1" ht="13.5" customHeight="1">
      <c r="A73" s="36">
        <v>45037</v>
      </c>
      <c r="B73" s="321" t="s">
        <v>680</v>
      </c>
      <c r="C73" s="313"/>
      <c r="D73" s="311">
        <v>39</v>
      </c>
      <c r="E73" s="36" t="s">
        <v>688</v>
      </c>
      <c r="F73" s="36" t="s">
        <v>689</v>
      </c>
      <c r="G73" s="38"/>
      <c r="H73" s="38"/>
      <c r="I73" s="38">
        <v>396.5</v>
      </c>
      <c r="J73" s="53">
        <f>I73/'통장내역(환율표)'!$D$92</f>
        <v>57.7029426317781</v>
      </c>
      <c r="K73" s="271">
        <f t="shared" si="4"/>
        <v>370240.56867047405</v>
      </c>
      <c r="L73" s="38">
        <f t="shared" si="5"/>
        <v>53881.447241225447</v>
      </c>
      <c r="M73" s="36"/>
      <c r="N73" s="45">
        <f t="shared" si="3"/>
        <v>53881.446700452849</v>
      </c>
    </row>
    <row r="74" spans="1:14" s="5" customFormat="1" ht="13.5" customHeight="1">
      <c r="A74" s="36">
        <v>45037</v>
      </c>
      <c r="B74" s="321" t="s">
        <v>681</v>
      </c>
      <c r="C74" s="313"/>
      <c r="D74" s="311">
        <v>40</v>
      </c>
      <c r="E74" s="36" t="s">
        <v>688</v>
      </c>
      <c r="F74" s="36" t="s">
        <v>689</v>
      </c>
      <c r="G74" s="38"/>
      <c r="H74" s="38"/>
      <c r="I74" s="38">
        <v>497.5</v>
      </c>
      <c r="J74" s="53">
        <f>I74/'통장내역(환율표)'!$D$92</f>
        <v>72.401548447186897</v>
      </c>
      <c r="K74" s="271">
        <f t="shared" si="4"/>
        <v>369743.06867047405</v>
      </c>
      <c r="L74" s="38">
        <f t="shared" si="5"/>
        <v>53809.045692778258</v>
      </c>
      <c r="M74" s="36"/>
      <c r="N74" s="45">
        <f t="shared" si="3"/>
        <v>53809.045152005659</v>
      </c>
    </row>
    <row r="75" spans="1:14" s="5" customFormat="1" ht="13.5" customHeight="1">
      <c r="A75" s="36">
        <v>45037</v>
      </c>
      <c r="B75" s="321" t="s">
        <v>658</v>
      </c>
      <c r="C75" s="313"/>
      <c r="D75" s="311">
        <v>41</v>
      </c>
      <c r="E75" s="36" t="s">
        <v>684</v>
      </c>
      <c r="F75" s="36"/>
      <c r="G75" s="38"/>
      <c r="H75" s="38"/>
      <c r="I75" s="38">
        <v>3.6</v>
      </c>
      <c r="J75" s="53">
        <f>I75/'통장내역(환율표)'!$D$92</f>
        <v>0.52391070233140269</v>
      </c>
      <c r="K75" s="271">
        <f t="shared" si="4"/>
        <v>369739.46867047407</v>
      </c>
      <c r="L75" s="38">
        <f t="shared" si="5"/>
        <v>53808.521782075928</v>
      </c>
      <c r="M75" s="36"/>
      <c r="N75" s="45">
        <f t="shared" si="3"/>
        <v>53808.52124130333</v>
      </c>
    </row>
    <row r="76" spans="1:14" s="5" customFormat="1" ht="13.5" customHeight="1">
      <c r="A76" s="36">
        <v>45037</v>
      </c>
      <c r="B76" s="321" t="s">
        <v>682</v>
      </c>
      <c r="C76" s="313"/>
      <c r="D76" s="311">
        <v>42</v>
      </c>
      <c r="E76" s="36" t="s">
        <v>692</v>
      </c>
      <c r="F76" s="36" t="s">
        <v>693</v>
      </c>
      <c r="G76" s="38"/>
      <c r="H76" s="38"/>
      <c r="I76" s="38">
        <f>7177.6-3.6</f>
        <v>7174</v>
      </c>
      <c r="J76" s="53">
        <f>I76/'통장내역(환율표)'!$D$92</f>
        <v>1044.0376051459675</v>
      </c>
      <c r="K76" s="271">
        <f t="shared" si="4"/>
        <v>362565.46867047407</v>
      </c>
      <c r="L76" s="38">
        <f t="shared" si="5"/>
        <v>52764.48417692996</v>
      </c>
      <c r="M76" s="36" t="s">
        <v>650</v>
      </c>
      <c r="N76" s="45">
        <f t="shared" si="3"/>
        <v>52764.483636157362</v>
      </c>
    </row>
    <row r="77" spans="1:14" s="5" customFormat="1" ht="13.5" customHeight="1">
      <c r="A77" s="36">
        <v>45037</v>
      </c>
      <c r="B77" s="321" t="s">
        <v>658</v>
      </c>
      <c r="C77" s="313"/>
      <c r="D77" s="311">
        <v>43</v>
      </c>
      <c r="E77" s="36" t="s">
        <v>684</v>
      </c>
      <c r="F77" s="36"/>
      <c r="G77" s="38"/>
      <c r="H77" s="38"/>
      <c r="I77" s="38">
        <v>3.6</v>
      </c>
      <c r="J77" s="53">
        <f>I77/'통장내역(환율표)'!$D$92</f>
        <v>0.52391070233140269</v>
      </c>
      <c r="K77" s="271">
        <f t="shared" si="4"/>
        <v>362561.8686704741</v>
      </c>
      <c r="L77" s="38">
        <f t="shared" si="5"/>
        <v>52763.96026622763</v>
      </c>
      <c r="M77" s="36"/>
      <c r="N77" s="45">
        <f t="shared" si="3"/>
        <v>52763.959725455032</v>
      </c>
    </row>
    <row r="78" spans="1:14" s="5" customFormat="1" ht="13.5" customHeight="1">
      <c r="A78" s="36">
        <v>45040</v>
      </c>
      <c r="B78" s="321" t="s">
        <v>683</v>
      </c>
      <c r="C78" s="313"/>
      <c r="D78" s="311">
        <v>44</v>
      </c>
      <c r="E78" s="36" t="s">
        <v>690</v>
      </c>
      <c r="F78" s="36" t="s">
        <v>691</v>
      </c>
      <c r="G78" s="38"/>
      <c r="H78" s="38"/>
      <c r="I78" s="38">
        <v>1553.87</v>
      </c>
      <c r="J78" s="53">
        <f>I78/'통장내역(환율표)'!$D$92</f>
        <v>226.13586750880461</v>
      </c>
      <c r="K78" s="271">
        <f t="shared" si="4"/>
        <v>361007.9986704741</v>
      </c>
      <c r="L78" s="38">
        <f t="shared" si="5"/>
        <v>52537.824398718825</v>
      </c>
      <c r="M78" s="36"/>
      <c r="N78" s="45">
        <f t="shared" si="3"/>
        <v>52537.823857946227</v>
      </c>
    </row>
    <row r="79" spans="1:14" s="5" customFormat="1" ht="13.5" customHeight="1">
      <c r="A79" s="36">
        <v>45040</v>
      </c>
      <c r="B79" s="321" t="s">
        <v>658</v>
      </c>
      <c r="C79" s="313"/>
      <c r="D79" s="311">
        <v>45</v>
      </c>
      <c r="E79" s="36" t="s">
        <v>684</v>
      </c>
      <c r="F79" s="36"/>
      <c r="G79" s="38"/>
      <c r="H79" s="38"/>
      <c r="I79" s="38">
        <v>3.6</v>
      </c>
      <c r="J79" s="53">
        <f>I79/'통장내역(환율표)'!$D$92</f>
        <v>0.52391070233140269</v>
      </c>
      <c r="K79" s="271">
        <f t="shared" si="4"/>
        <v>361004.39867047413</v>
      </c>
      <c r="L79" s="38">
        <f t="shared" si="5"/>
        <v>52537.300488016495</v>
      </c>
      <c r="M79" s="36"/>
      <c r="N79" s="45">
        <f t="shared" si="3"/>
        <v>52537.299947243897</v>
      </c>
    </row>
    <row r="80" spans="1:14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2.7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2.7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2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2.7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50" spans="1:15">
      <c r="B150" s="322"/>
    </row>
    <row r="151" spans="1:15">
      <c r="B151" s="322"/>
    </row>
  </sheetData>
  <autoFilter ref="A18:N149" xr:uid="{00000000-0009-0000-0000-00000F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O154"/>
  <sheetViews>
    <sheetView showGridLines="0" zoomScaleNormal="100" workbookViewId="0">
      <pane ySplit="18" topLeftCell="A28" activePane="bottomLeft" state="frozen"/>
      <selection activeCell="H22" sqref="H22"/>
      <selection pane="bottomLeft" activeCell="H22" sqref="H22"/>
    </sheetView>
  </sheetViews>
  <sheetFormatPr defaultRowHeight="16.5"/>
  <cols>
    <col min="1" max="4" width="11.875" customWidth="1"/>
    <col min="5" max="5" width="13.5" bestFit="1" customWidth="1"/>
    <col min="6" max="6" width="9.25" bestFit="1" customWidth="1"/>
    <col min="7" max="7" width="10.875" bestFit="1" customWidth="1"/>
    <col min="8" max="8" width="10" bestFit="1" customWidth="1"/>
    <col min="9" max="9" width="11.62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</cols>
  <sheetData>
    <row r="1" spans="1:14" ht="24">
      <c r="A1" s="1" t="s">
        <v>730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7"/>
      <c r="L1" s="5"/>
      <c r="M1" s="5"/>
    </row>
    <row r="2" spans="1:14" s="5" customFormat="1" ht="17.25">
      <c r="A2" s="130" t="s">
        <v>694</v>
      </c>
      <c r="B2" s="2"/>
      <c r="C2" s="2"/>
      <c r="E2" s="4">
        <v>100000031</v>
      </c>
      <c r="F2" s="346"/>
      <c r="G2" s="307"/>
      <c r="H2" s="307"/>
      <c r="I2" s="307"/>
      <c r="J2" s="307"/>
      <c r="K2" s="307"/>
      <c r="L2" s="139">
        <v>1200000696</v>
      </c>
    </row>
    <row r="3" spans="1:14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307"/>
      <c r="H3" s="307"/>
      <c r="I3" s="307"/>
      <c r="J3" s="307"/>
      <c r="K3" s="307"/>
    </row>
    <row r="4" spans="1:14" s="5" customFormat="1" ht="13.5">
      <c r="A4" s="114" t="s">
        <v>292</v>
      </c>
      <c r="B4" s="115"/>
      <c r="C4" s="116"/>
      <c r="D4" s="116"/>
      <c r="E4" s="117"/>
      <c r="F4" s="118"/>
      <c r="G4" s="345"/>
      <c r="H4" s="307"/>
      <c r="I4" s="307"/>
      <c r="J4" s="307"/>
      <c r="K4" s="307"/>
      <c r="L4" s="119"/>
    </row>
    <row r="5" spans="1:14" s="5" customFormat="1" ht="13.5">
      <c r="A5" s="114" t="s">
        <v>238</v>
      </c>
      <c r="B5" s="115" t="s">
        <v>12</v>
      </c>
      <c r="C5" s="120">
        <v>17371.86</v>
      </c>
      <c r="D5" s="116">
        <v>2528.1398259452226</v>
      </c>
      <c r="E5" s="117">
        <v>3334364</v>
      </c>
      <c r="F5" s="348">
        <f>E5/C5</f>
        <v>191.94052910856982</v>
      </c>
      <c r="G5" s="345"/>
      <c r="H5" s="307"/>
      <c r="I5" s="307"/>
      <c r="J5" s="307"/>
      <c r="K5" s="307"/>
      <c r="L5" s="248">
        <f t="shared" ref="L5:L10" si="0">K5+E5</f>
        <v>3334364</v>
      </c>
      <c r="M5" s="304"/>
    </row>
    <row r="6" spans="1:14" s="5" customFormat="1" ht="13.5">
      <c r="A6" s="114" t="s">
        <v>294</v>
      </c>
      <c r="B6" s="115" t="s">
        <v>14</v>
      </c>
      <c r="C6" s="116">
        <v>19002.77</v>
      </c>
      <c r="D6" s="116">
        <v>2765.4873824839192</v>
      </c>
      <c r="E6" s="117">
        <v>3647405</v>
      </c>
      <c r="F6" s="121">
        <v>51061030</v>
      </c>
      <c r="G6" s="345"/>
      <c r="H6" s="307"/>
      <c r="I6" s="307"/>
      <c r="J6" s="307"/>
      <c r="K6" s="307"/>
      <c r="L6" s="248">
        <f t="shared" si="0"/>
        <v>3647405</v>
      </c>
    </row>
    <row r="7" spans="1:14" s="5" customFormat="1" ht="13.5">
      <c r="A7" s="114" t="s">
        <v>75</v>
      </c>
      <c r="B7" s="115" t="s">
        <v>16</v>
      </c>
      <c r="C7" s="116">
        <v>20023</v>
      </c>
      <c r="D7" s="116">
        <v>2913.9622202171322</v>
      </c>
      <c r="E7" s="117">
        <v>3843222</v>
      </c>
      <c r="F7" s="121">
        <v>51201020</v>
      </c>
      <c r="G7" s="345"/>
      <c r="H7" s="307"/>
      <c r="I7" s="307"/>
      <c r="J7" s="307"/>
      <c r="K7" s="307"/>
      <c r="L7" s="248">
        <f t="shared" si="0"/>
        <v>3843222</v>
      </c>
    </row>
    <row r="8" spans="1:14" s="5" customFormat="1" ht="13.5">
      <c r="A8" s="114" t="s">
        <v>75</v>
      </c>
      <c r="B8" s="114" t="s">
        <v>17</v>
      </c>
      <c r="C8" s="116">
        <v>10500</v>
      </c>
      <c r="D8" s="116">
        <v>1528.0728817999245</v>
      </c>
      <c r="E8" s="117">
        <v>2015372</v>
      </c>
      <c r="F8" s="121">
        <v>51201030</v>
      </c>
      <c r="G8" s="345"/>
      <c r="H8" s="307"/>
      <c r="I8" s="307"/>
      <c r="J8" s="307"/>
      <c r="K8" s="307"/>
      <c r="L8" s="248">
        <f t="shared" si="0"/>
        <v>2015372</v>
      </c>
    </row>
    <row r="9" spans="1:14" s="5" customFormat="1" ht="13.5">
      <c r="A9" s="114" t="s">
        <v>296</v>
      </c>
      <c r="B9" s="114" t="s">
        <v>20</v>
      </c>
      <c r="C9" s="116">
        <v>995.6</v>
      </c>
      <c r="D9" s="116">
        <v>144.89041534476235</v>
      </c>
      <c r="E9" s="117">
        <v>191095</v>
      </c>
      <c r="F9" s="121">
        <v>51071700</v>
      </c>
      <c r="G9" s="345"/>
      <c r="H9" s="307"/>
      <c r="I9" s="307"/>
      <c r="J9" s="307"/>
      <c r="K9" s="307"/>
      <c r="L9" s="248">
        <f t="shared" si="0"/>
        <v>191095</v>
      </c>
    </row>
    <row r="10" spans="1:14" s="5" customFormat="1" ht="13.5">
      <c r="A10" s="114" t="s">
        <v>62</v>
      </c>
      <c r="B10" s="115"/>
      <c r="C10" s="116">
        <v>213718.69000000009</v>
      </c>
      <c r="D10" s="116">
        <v>31102.641383124228</v>
      </c>
      <c r="E10" s="117">
        <v>41021272</v>
      </c>
      <c r="F10" s="121">
        <v>51321010</v>
      </c>
      <c r="G10" s="345"/>
      <c r="H10" s="307"/>
      <c r="I10" s="307"/>
      <c r="J10" s="307"/>
      <c r="K10" s="307"/>
      <c r="L10" s="248">
        <f t="shared" si="0"/>
        <v>41021272</v>
      </c>
    </row>
    <row r="11" spans="1:14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345"/>
      <c r="H11" s="307"/>
      <c r="I11" s="307"/>
      <c r="J11" s="307"/>
      <c r="K11" s="307"/>
      <c r="L11" s="119"/>
    </row>
    <row r="12" spans="1:14" s="5" customFormat="1" ht="13.5">
      <c r="A12" s="1493" t="s">
        <v>299</v>
      </c>
      <c r="B12" s="1494"/>
      <c r="C12" s="124">
        <f>SUM(C4:C11)</f>
        <v>281611.9200000001</v>
      </c>
      <c r="D12" s="124">
        <f>SUM(D4:D11)</f>
        <v>40983.194108915188</v>
      </c>
      <c r="E12" s="125">
        <f>SUM(E4:E11)</f>
        <v>54052730</v>
      </c>
      <c r="F12" s="121">
        <v>52981010</v>
      </c>
      <c r="G12" s="345"/>
      <c r="H12" s="307"/>
      <c r="I12" s="307"/>
      <c r="J12" s="307"/>
      <c r="K12" s="307"/>
      <c r="L12" s="119"/>
    </row>
    <row r="13" spans="1:14" s="5" customFormat="1" ht="13.5">
      <c r="A13" s="126"/>
      <c r="B13" s="315"/>
      <c r="C13" s="316">
        <f>C12+I12</f>
        <v>281611.9200000001</v>
      </c>
      <c r="D13" s="316">
        <f>D12+J12</f>
        <v>40983.194108915188</v>
      </c>
      <c r="E13" s="317">
        <f>E12+K12</f>
        <v>54052730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.5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N14" s="45"/>
    </row>
    <row r="15" spans="1:14" s="5" customFormat="1" ht="13.5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4" s="5" customFormat="1" ht="13.5">
      <c r="B16" s="134">
        <v>13081010</v>
      </c>
      <c r="C16" s="135"/>
      <c r="D16" s="135"/>
      <c r="G16" s="6"/>
      <c r="H16" s="137"/>
      <c r="I16" s="137">
        <f>SUBTOTAL(9,I19:I163)</f>
        <v>281611.91999999993</v>
      </c>
      <c r="J16" s="137">
        <f>SUBTOTAL(9,J19:J161)</f>
        <v>40983.194108915188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105">
        <v>45046</v>
      </c>
      <c r="B19" s="338" t="s">
        <v>65</v>
      </c>
      <c r="C19" s="339"/>
      <c r="D19" s="106"/>
      <c r="E19" s="107"/>
      <c r="F19" s="106"/>
      <c r="G19" s="108"/>
      <c r="H19" s="108"/>
      <c r="I19" s="108"/>
      <c r="J19" s="108"/>
      <c r="K19" s="108">
        <v>361004.39867047413</v>
      </c>
      <c r="L19" s="108">
        <v>52537.300488016503</v>
      </c>
      <c r="M19" s="106"/>
      <c r="N19" s="45">
        <v>52537.299947243904</v>
      </c>
    </row>
    <row r="20" spans="1:14" s="5" customFormat="1" ht="13.5" customHeight="1">
      <c r="A20" s="340">
        <v>45057</v>
      </c>
      <c r="B20" s="343" t="s">
        <v>697</v>
      </c>
      <c r="C20" s="160"/>
      <c r="D20" s="290">
        <v>1</v>
      </c>
      <c r="E20" s="33" t="s">
        <v>107</v>
      </c>
      <c r="F20" s="35"/>
      <c r="G20" s="103"/>
      <c r="H20" s="38"/>
      <c r="I20" s="275">
        <v>2000</v>
      </c>
      <c r="J20" s="53">
        <f>I20/'통장내역(환율표)'!$D$92</f>
        <v>291.06150129522371</v>
      </c>
      <c r="K20" s="271">
        <f>K19+G20-I20</f>
        <v>359004.39867047413</v>
      </c>
      <c r="L20" s="271">
        <f>L19+H20-J20</f>
        <v>52246.238986721277</v>
      </c>
      <c r="M20" s="36"/>
      <c r="N20" s="45">
        <f>N19-J20+H20</f>
        <v>52246.238445948678</v>
      </c>
    </row>
    <row r="21" spans="1:14" s="5" customFormat="1" ht="13.5" customHeight="1">
      <c r="A21" s="340">
        <v>45057</v>
      </c>
      <c r="B21" s="321" t="s">
        <v>250</v>
      </c>
      <c r="C21" s="160"/>
      <c r="D21" s="290">
        <v>2</v>
      </c>
      <c r="E21" s="33" t="s">
        <v>107</v>
      </c>
      <c r="F21" s="35"/>
      <c r="G21" s="103"/>
      <c r="H21" s="38"/>
      <c r="I21" s="275">
        <v>3.6</v>
      </c>
      <c r="J21" s="53">
        <f>I21/'통장내역(환율표)'!$D$92</f>
        <v>0.52391070233140269</v>
      </c>
      <c r="K21" s="271">
        <f t="shared" ref="K21:K33" si="1">K20+G21-I21</f>
        <v>359000.79867047415</v>
      </c>
      <c r="L21" s="271">
        <f t="shared" ref="L21:L33" si="2">L20+H21-J21</f>
        <v>52245.715076018947</v>
      </c>
      <c r="M21" s="36"/>
      <c r="N21" s="45">
        <f t="shared" ref="N21:N82" si="3">N20-J21+H21</f>
        <v>52245.714535246349</v>
      </c>
    </row>
    <row r="22" spans="1:14" s="5" customFormat="1" ht="13.5" customHeight="1">
      <c r="A22" s="340">
        <v>45063</v>
      </c>
      <c r="B22" s="343" t="s">
        <v>698</v>
      </c>
      <c r="C22" s="313"/>
      <c r="D22" s="290">
        <v>3</v>
      </c>
      <c r="E22" s="36" t="s">
        <v>107</v>
      </c>
      <c r="F22" s="36"/>
      <c r="G22" s="38"/>
      <c r="H22" s="38"/>
      <c r="I22" s="275">
        <v>80</v>
      </c>
      <c r="J22" s="53">
        <f>I22/'통장내역(환율표)'!$D$92</f>
        <v>11.642460051808948</v>
      </c>
      <c r="K22" s="271">
        <f t="shared" si="1"/>
        <v>358920.79867047415</v>
      </c>
      <c r="L22" s="271">
        <f t="shared" si="2"/>
        <v>52234.072615967139</v>
      </c>
      <c r="M22" s="36"/>
      <c r="N22" s="45">
        <f t="shared" si="3"/>
        <v>52234.072075194541</v>
      </c>
    </row>
    <row r="23" spans="1:14" s="5" customFormat="1" ht="13.5" customHeight="1">
      <c r="A23" s="340">
        <v>45063</v>
      </c>
      <c r="B23" s="321" t="s">
        <v>131</v>
      </c>
      <c r="C23" s="313"/>
      <c r="D23" s="290">
        <v>4</v>
      </c>
      <c r="E23" s="36" t="s">
        <v>107</v>
      </c>
      <c r="F23" s="36"/>
      <c r="G23" s="38"/>
      <c r="H23" s="38"/>
      <c r="I23" s="275">
        <v>7612.23</v>
      </c>
      <c r="J23" s="53">
        <f>I23/'통장내역(환율표)'!$D$92</f>
        <v>1107.8135460022702</v>
      </c>
      <c r="K23" s="271">
        <f t="shared" si="1"/>
        <v>351308.56867047417</v>
      </c>
      <c r="L23" s="271">
        <f t="shared" si="2"/>
        <v>51126.259069964872</v>
      </c>
      <c r="M23" s="36"/>
      <c r="N23" s="45">
        <f t="shared" si="3"/>
        <v>51126.258529192273</v>
      </c>
    </row>
    <row r="24" spans="1:14" s="5" customFormat="1" ht="13.5" customHeight="1">
      <c r="A24" s="340">
        <v>45063</v>
      </c>
      <c r="B24" s="321" t="s">
        <v>133</v>
      </c>
      <c r="C24" s="313"/>
      <c r="D24" s="290">
        <v>4</v>
      </c>
      <c r="E24" s="36" t="s">
        <v>107</v>
      </c>
      <c r="F24" s="36"/>
      <c r="G24" s="38"/>
      <c r="H24" s="38"/>
      <c r="I24" s="275">
        <v>2902.2899999999991</v>
      </c>
      <c r="J24" s="53">
        <f>I24/'통장내역(환율표)'!$D$92</f>
        <v>422.37244229705726</v>
      </c>
      <c r="K24" s="271">
        <f t="shared" si="1"/>
        <v>348406.27867047419</v>
      </c>
      <c r="L24" s="271">
        <f t="shared" si="2"/>
        <v>50703.886627667816</v>
      </c>
      <c r="M24" s="36"/>
      <c r="N24" s="45">
        <f t="shared" si="3"/>
        <v>50703.886086895218</v>
      </c>
    </row>
    <row r="25" spans="1:14" s="5" customFormat="1" ht="13.5" customHeight="1">
      <c r="A25" s="340">
        <v>45063</v>
      </c>
      <c r="B25" s="321" t="s">
        <v>456</v>
      </c>
      <c r="C25" s="313"/>
      <c r="D25" s="290">
        <v>4</v>
      </c>
      <c r="E25" s="36" t="s">
        <v>107</v>
      </c>
      <c r="F25" s="36"/>
      <c r="G25" s="38"/>
      <c r="H25" s="38"/>
      <c r="I25" s="275">
        <v>15000</v>
      </c>
      <c r="J25" s="53">
        <f>I25/'통장내역(환율표)'!$D$92</f>
        <v>2182.9612597141777</v>
      </c>
      <c r="K25" s="271">
        <f t="shared" si="1"/>
        <v>333406.27867047419</v>
      </c>
      <c r="L25" s="271">
        <f t="shared" si="2"/>
        <v>48520.925367953641</v>
      </c>
      <c r="M25" s="36"/>
      <c r="N25" s="45">
        <f t="shared" si="3"/>
        <v>48520.924827181043</v>
      </c>
    </row>
    <row r="26" spans="1:14" s="5" customFormat="1" ht="13.5" customHeight="1">
      <c r="A26" s="340">
        <v>45063</v>
      </c>
      <c r="B26" s="321" t="s">
        <v>457</v>
      </c>
      <c r="C26" s="313"/>
      <c r="D26" s="290">
        <v>4</v>
      </c>
      <c r="E26" s="36" t="s">
        <v>107</v>
      </c>
      <c r="F26" s="36"/>
      <c r="G26" s="38"/>
      <c r="H26" s="38"/>
      <c r="I26" s="275">
        <v>22000</v>
      </c>
      <c r="J26" s="53">
        <f>I26/'통장내역(환율표)'!$D$92</f>
        <v>3201.6765142474605</v>
      </c>
      <c r="K26" s="271">
        <f t="shared" si="1"/>
        <v>311406.27867047419</v>
      </c>
      <c r="L26" s="271">
        <f t="shared" si="2"/>
        <v>45319.24885370618</v>
      </c>
      <c r="M26" s="36"/>
      <c r="N26" s="45">
        <f t="shared" si="3"/>
        <v>45319.248312933581</v>
      </c>
    </row>
    <row r="27" spans="1:14" s="5" customFormat="1" ht="13.5" customHeight="1">
      <c r="A27" s="340">
        <v>45063</v>
      </c>
      <c r="B27" s="321" t="s">
        <v>130</v>
      </c>
      <c r="C27" s="313"/>
      <c r="D27" s="290">
        <v>4</v>
      </c>
      <c r="E27" s="36" t="s">
        <v>107</v>
      </c>
      <c r="F27" s="36"/>
      <c r="G27" s="38"/>
      <c r="H27" s="38"/>
      <c r="I27" s="275">
        <v>300</v>
      </c>
      <c r="J27" s="53">
        <f>I27/'통장내역(환율표)'!$D$92</f>
        <v>43.659225194283557</v>
      </c>
      <c r="K27" s="271">
        <f t="shared" si="1"/>
        <v>311106.27867047419</v>
      </c>
      <c r="L27" s="271">
        <f t="shared" si="2"/>
        <v>45275.589628511894</v>
      </c>
      <c r="M27" s="36"/>
      <c r="N27" s="45">
        <f t="shared" si="3"/>
        <v>45275.589087739296</v>
      </c>
    </row>
    <row r="28" spans="1:14" s="5" customFormat="1" ht="13.5" customHeight="1">
      <c r="A28" s="340">
        <v>45063</v>
      </c>
      <c r="B28" s="321" t="s">
        <v>131</v>
      </c>
      <c r="C28" s="313"/>
      <c r="D28" s="290">
        <v>4</v>
      </c>
      <c r="E28" s="36" t="s">
        <v>107</v>
      </c>
      <c r="F28" s="36"/>
      <c r="G28" s="38"/>
      <c r="H28" s="38"/>
      <c r="I28" s="275">
        <v>4237.2299999999996</v>
      </c>
      <c r="J28" s="53">
        <f>I28/'통장내역(환율표)'!$D$92</f>
        <v>616.64726256658025</v>
      </c>
      <c r="K28" s="271">
        <f t="shared" si="1"/>
        <v>306869.04867047421</v>
      </c>
      <c r="L28" s="271">
        <f t="shared" si="2"/>
        <v>44658.942365945317</v>
      </c>
      <c r="M28" s="36"/>
      <c r="N28" s="45">
        <f t="shared" si="3"/>
        <v>44658.941825172718</v>
      </c>
    </row>
    <row r="29" spans="1:14" s="5" customFormat="1" ht="13.5" customHeight="1">
      <c r="A29" s="340">
        <v>45063</v>
      </c>
      <c r="B29" s="321" t="s">
        <v>133</v>
      </c>
      <c r="C29" s="313"/>
      <c r="D29" s="290">
        <v>4</v>
      </c>
      <c r="E29" s="36" t="s">
        <v>107</v>
      </c>
      <c r="F29" s="36"/>
      <c r="G29" s="38"/>
      <c r="H29" s="38"/>
      <c r="I29" s="275">
        <v>564.28999999999905</v>
      </c>
      <c r="J29" s="53">
        <f>I29/'통장내역(환율표)'!$D$92</f>
        <v>82.121547282940753</v>
      </c>
      <c r="K29" s="271">
        <f t="shared" si="1"/>
        <v>306304.75867047423</v>
      </c>
      <c r="L29" s="271">
        <f t="shared" si="2"/>
        <v>44576.820818662374</v>
      </c>
      <c r="M29" s="36"/>
      <c r="N29" s="45">
        <f t="shared" si="3"/>
        <v>44576.820277889776</v>
      </c>
    </row>
    <row r="30" spans="1:14" s="5" customFormat="1" ht="13.5" customHeight="1">
      <c r="A30" s="340">
        <v>45063</v>
      </c>
      <c r="B30" s="321" t="s">
        <v>456</v>
      </c>
      <c r="C30" s="313"/>
      <c r="D30" s="290">
        <v>4</v>
      </c>
      <c r="E30" s="36" t="s">
        <v>107</v>
      </c>
      <c r="F30" s="36"/>
      <c r="G30" s="38"/>
      <c r="H30" s="38"/>
      <c r="I30" s="275">
        <v>15000</v>
      </c>
      <c r="J30" s="53">
        <f>I30/'통장내역(환율표)'!$D$92</f>
        <v>2182.9612597141777</v>
      </c>
      <c r="K30" s="271">
        <f t="shared" si="1"/>
        <v>291304.75867047423</v>
      </c>
      <c r="L30" s="271">
        <f t="shared" si="2"/>
        <v>42393.859558948199</v>
      </c>
      <c r="M30" s="36"/>
      <c r="N30" s="45">
        <f t="shared" si="3"/>
        <v>42393.859018175601</v>
      </c>
    </row>
    <row r="31" spans="1:14" s="5" customFormat="1" ht="13.5" customHeight="1">
      <c r="A31" s="340">
        <v>45063</v>
      </c>
      <c r="B31" s="321" t="s">
        <v>457</v>
      </c>
      <c r="C31" s="313"/>
      <c r="D31" s="290">
        <v>4</v>
      </c>
      <c r="E31" s="36" t="s">
        <v>107</v>
      </c>
      <c r="F31" s="36"/>
      <c r="G31" s="38"/>
      <c r="H31" s="38"/>
      <c r="I31" s="275">
        <v>22000</v>
      </c>
      <c r="J31" s="53">
        <f>I31/'통장내역(환율표)'!$D$92</f>
        <v>3201.6765142474605</v>
      </c>
      <c r="K31" s="271">
        <f t="shared" si="1"/>
        <v>269304.75867047423</v>
      </c>
      <c r="L31" s="271">
        <f t="shared" si="2"/>
        <v>39192.183044700738</v>
      </c>
      <c r="M31" s="36"/>
      <c r="N31" s="45">
        <f t="shared" si="3"/>
        <v>39192.182503928139</v>
      </c>
    </row>
    <row r="32" spans="1:14" s="5" customFormat="1" ht="13.5" customHeight="1">
      <c r="A32" s="340">
        <v>45063</v>
      </c>
      <c r="B32" s="321" t="s">
        <v>130</v>
      </c>
      <c r="C32" s="313"/>
      <c r="D32" s="290">
        <v>4</v>
      </c>
      <c r="E32" s="36" t="s">
        <v>107</v>
      </c>
      <c r="F32" s="36"/>
      <c r="G32" s="38"/>
      <c r="H32" s="38"/>
      <c r="I32" s="275">
        <v>300</v>
      </c>
      <c r="J32" s="53">
        <f>I32/'통장내역(환율표)'!$D$92</f>
        <v>43.659225194283557</v>
      </c>
      <c r="K32" s="271">
        <f t="shared" si="1"/>
        <v>269004.75867047423</v>
      </c>
      <c r="L32" s="271">
        <f t="shared" si="2"/>
        <v>39148.523819506452</v>
      </c>
      <c r="M32" s="36"/>
      <c r="N32" s="45">
        <f t="shared" si="3"/>
        <v>39148.523278733854</v>
      </c>
    </row>
    <row r="33" spans="1:14" s="5" customFormat="1" ht="13.5" customHeight="1">
      <c r="A33" s="340">
        <v>45063</v>
      </c>
      <c r="B33" s="321" t="s">
        <v>878</v>
      </c>
      <c r="C33" s="313"/>
      <c r="D33" s="290">
        <v>4</v>
      </c>
      <c r="E33" s="36" t="s">
        <v>107</v>
      </c>
      <c r="F33" s="36"/>
      <c r="G33" s="38"/>
      <c r="H33" s="38"/>
      <c r="I33" s="275">
        <v>5054.3900000000003</v>
      </c>
      <c r="J33" s="53">
        <f>I33/'통장내역(환율표)'!$D$92</f>
        <v>735.56917076578293</v>
      </c>
      <c r="K33" s="271">
        <f t="shared" si="1"/>
        <v>263950.36867047421</v>
      </c>
      <c r="L33" s="271">
        <f t="shared" si="2"/>
        <v>38412.95464874067</v>
      </c>
      <c r="M33" s="36"/>
      <c r="N33" s="45">
        <f t="shared" si="3"/>
        <v>38412.954107968071</v>
      </c>
    </row>
    <row r="34" spans="1:14" s="5" customFormat="1" ht="13.5" customHeight="1">
      <c r="A34" s="340">
        <v>45063</v>
      </c>
      <c r="B34" s="321" t="s">
        <v>594</v>
      </c>
      <c r="C34" s="313"/>
      <c r="D34" s="290">
        <v>4</v>
      </c>
      <c r="E34" s="36" t="s">
        <v>107</v>
      </c>
      <c r="F34" s="36"/>
      <c r="G34" s="38"/>
      <c r="H34" s="38"/>
      <c r="I34" s="275">
        <v>37500</v>
      </c>
      <c r="J34" s="53">
        <f>I34/'통장내역(환율표)'!$D$92</f>
        <v>5457.4031492854447</v>
      </c>
      <c r="K34" s="271">
        <f t="shared" ref="K34:K82" si="4">K33+G34-I34</f>
        <v>226450.36867047421</v>
      </c>
      <c r="L34" s="271">
        <f t="shared" ref="L34:L82" si="5">L33+H34-J34</f>
        <v>32955.551499455221</v>
      </c>
      <c r="M34" s="36"/>
      <c r="N34" s="45">
        <f t="shared" si="3"/>
        <v>32955.550958682623</v>
      </c>
    </row>
    <row r="35" spans="1:14" s="5" customFormat="1" ht="13.5" customHeight="1">
      <c r="A35" s="340">
        <v>45063</v>
      </c>
      <c r="B35" s="321" t="s">
        <v>880</v>
      </c>
      <c r="C35" s="313"/>
      <c r="D35" s="290">
        <v>4</v>
      </c>
      <c r="E35" s="36" t="s">
        <v>107</v>
      </c>
      <c r="F35" s="36"/>
      <c r="G35" s="38"/>
      <c r="H35" s="38"/>
      <c r="I35" s="275">
        <v>300</v>
      </c>
      <c r="J35" s="53">
        <f>I35/'통장내역(환율표)'!$D$92</f>
        <v>43.659225194283557</v>
      </c>
      <c r="K35" s="271">
        <f t="shared" si="4"/>
        <v>226150.36867047421</v>
      </c>
      <c r="L35" s="271">
        <f t="shared" si="5"/>
        <v>32911.892274260936</v>
      </c>
      <c r="M35" s="36"/>
      <c r="N35" s="45">
        <f t="shared" si="3"/>
        <v>32911.891733488337</v>
      </c>
    </row>
    <row r="36" spans="1:14" s="5" customFormat="1" ht="13.5" customHeight="1">
      <c r="A36" s="340">
        <v>45063</v>
      </c>
      <c r="B36" s="321" t="s">
        <v>250</v>
      </c>
      <c r="C36" s="313"/>
      <c r="D36" s="290">
        <v>5</v>
      </c>
      <c r="E36" s="36" t="s">
        <v>107</v>
      </c>
      <c r="F36" s="36"/>
      <c r="G36" s="38"/>
      <c r="H36" s="38"/>
      <c r="I36" s="275">
        <v>12</v>
      </c>
      <c r="J36" s="53">
        <f>I36/'통장내역(환율표)'!$D$92</f>
        <v>1.7463690077713423</v>
      </c>
      <c r="K36" s="271">
        <f t="shared" si="4"/>
        <v>226138.36867047421</v>
      </c>
      <c r="L36" s="271">
        <f t="shared" si="5"/>
        <v>32910.145905253165</v>
      </c>
      <c r="M36" s="36"/>
      <c r="N36" s="45">
        <f t="shared" si="3"/>
        <v>32910.145364480566</v>
      </c>
    </row>
    <row r="37" spans="1:14" s="5" customFormat="1" ht="13.5" customHeight="1">
      <c r="A37" s="340">
        <v>45068</v>
      </c>
      <c r="B37" s="343" t="s">
        <v>240</v>
      </c>
      <c r="C37" s="313"/>
      <c r="D37" s="290">
        <v>6</v>
      </c>
      <c r="E37" s="36" t="s">
        <v>105</v>
      </c>
      <c r="F37" s="36" t="s">
        <v>106</v>
      </c>
      <c r="G37" s="38"/>
      <c r="H37" s="38"/>
      <c r="I37" s="275">
        <v>20023</v>
      </c>
      <c r="J37" s="53">
        <f>I37/'통장내역(환율표)'!$D$92</f>
        <v>2913.9622202171322</v>
      </c>
      <c r="K37" s="271">
        <f t="shared" si="4"/>
        <v>206115.36867047421</v>
      </c>
      <c r="L37" s="271">
        <f t="shared" si="5"/>
        <v>29996.183685036034</v>
      </c>
      <c r="M37" s="36"/>
      <c r="N37" s="45">
        <f t="shared" si="3"/>
        <v>29996.183144263436</v>
      </c>
    </row>
    <row r="38" spans="1:14" s="5" customFormat="1" ht="13.5" customHeight="1">
      <c r="A38" s="340">
        <v>45068</v>
      </c>
      <c r="B38" s="321" t="s">
        <v>250</v>
      </c>
      <c r="C38" s="313"/>
      <c r="D38" s="290">
        <v>7</v>
      </c>
      <c r="E38" s="36" t="s">
        <v>107</v>
      </c>
      <c r="F38" s="36"/>
      <c r="G38" s="38"/>
      <c r="H38" s="38"/>
      <c r="I38" s="341">
        <v>7.2</v>
      </c>
      <c r="J38" s="53">
        <f>I38/'통장내역(환율표)'!$D$92</f>
        <v>1.0478214046628054</v>
      </c>
      <c r="K38" s="271">
        <f t="shared" si="4"/>
        <v>206108.1686704742</v>
      </c>
      <c r="L38" s="271">
        <f t="shared" si="5"/>
        <v>29995.135863631371</v>
      </c>
      <c r="M38" s="36"/>
      <c r="N38" s="45">
        <f t="shared" si="3"/>
        <v>29995.135322858772</v>
      </c>
    </row>
    <row r="39" spans="1:14" s="5" customFormat="1" ht="13.5" customHeight="1">
      <c r="A39" s="340">
        <v>45068</v>
      </c>
      <c r="B39" s="343" t="s">
        <v>699</v>
      </c>
      <c r="C39" s="313"/>
      <c r="D39" s="290">
        <v>8</v>
      </c>
      <c r="E39" s="36" t="s">
        <v>107</v>
      </c>
      <c r="F39" s="36"/>
      <c r="G39" s="38"/>
      <c r="H39" s="38"/>
      <c r="I39" s="277">
        <v>617.25</v>
      </c>
      <c r="J39" s="53">
        <f>I39/'통장내역(환율표)'!$D$92</f>
        <v>89.828855837238422</v>
      </c>
      <c r="K39" s="271">
        <f t="shared" si="4"/>
        <v>205490.9186704742</v>
      </c>
      <c r="L39" s="271">
        <f t="shared" si="5"/>
        <v>29905.307007794134</v>
      </c>
      <c r="M39" s="36"/>
      <c r="N39" s="45">
        <f t="shared" si="3"/>
        <v>29905.306467021535</v>
      </c>
    </row>
    <row r="40" spans="1:14" s="5" customFormat="1" ht="13.5" customHeight="1">
      <c r="A40" s="340">
        <v>45068</v>
      </c>
      <c r="B40" s="321" t="s">
        <v>250</v>
      </c>
      <c r="C40" s="313"/>
      <c r="D40" s="290">
        <v>9</v>
      </c>
      <c r="E40" s="36" t="s">
        <v>107</v>
      </c>
      <c r="F40" s="36"/>
      <c r="G40" s="38"/>
      <c r="H40" s="38"/>
      <c r="I40" s="277">
        <v>3.6</v>
      </c>
      <c r="J40" s="53">
        <f>I40/'통장내역(환율표)'!$D$92</f>
        <v>0.52391070233140269</v>
      </c>
      <c r="K40" s="271">
        <f t="shared" si="4"/>
        <v>205487.3186704742</v>
      </c>
      <c r="L40" s="271">
        <f t="shared" si="5"/>
        <v>29904.783097091804</v>
      </c>
      <c r="M40" s="36"/>
      <c r="N40" s="45">
        <f t="shared" si="3"/>
        <v>29904.782556319205</v>
      </c>
    </row>
    <row r="41" spans="1:14" s="5" customFormat="1" ht="13.5" customHeight="1">
      <c r="A41" s="340">
        <v>45068</v>
      </c>
      <c r="B41" s="321" t="s">
        <v>346</v>
      </c>
      <c r="C41" s="313"/>
      <c r="D41" s="290">
        <v>10</v>
      </c>
      <c r="E41" s="36" t="s">
        <v>105</v>
      </c>
      <c r="F41" s="36" t="s">
        <v>227</v>
      </c>
      <c r="G41" s="38"/>
      <c r="H41" s="38"/>
      <c r="I41" s="38">
        <v>10500</v>
      </c>
      <c r="J41" s="53">
        <f>I41/'통장내역(환율표)'!$D$92</f>
        <v>1528.0728817999245</v>
      </c>
      <c r="K41" s="271">
        <f t="shared" si="4"/>
        <v>194987.3186704742</v>
      </c>
      <c r="L41" s="271">
        <f t="shared" si="5"/>
        <v>28376.710215291878</v>
      </c>
      <c r="M41" s="36"/>
      <c r="N41" s="45">
        <f t="shared" si="3"/>
        <v>28376.709674519279</v>
      </c>
    </row>
    <row r="42" spans="1:14" s="5" customFormat="1" ht="13.5" customHeight="1">
      <c r="A42" s="340">
        <v>45068</v>
      </c>
      <c r="B42" s="321" t="s">
        <v>347</v>
      </c>
      <c r="C42" s="313"/>
      <c r="D42" s="290">
        <v>10</v>
      </c>
      <c r="E42" s="36" t="s">
        <v>107</v>
      </c>
      <c r="F42" s="36"/>
      <c r="G42" s="38"/>
      <c r="H42" s="38"/>
      <c r="I42" s="38">
        <v>6000</v>
      </c>
      <c r="J42" s="53">
        <f>I42/'통장내역(환율표)'!$D$92</f>
        <v>873.18450388567112</v>
      </c>
      <c r="K42" s="271">
        <f t="shared" si="4"/>
        <v>188987.3186704742</v>
      </c>
      <c r="L42" s="271">
        <f t="shared" si="5"/>
        <v>27503.525711406208</v>
      </c>
      <c r="M42" s="36"/>
      <c r="N42" s="45">
        <f t="shared" si="3"/>
        <v>27503.525170633609</v>
      </c>
    </row>
    <row r="43" spans="1:14" s="5" customFormat="1" ht="13.5" customHeight="1">
      <c r="A43" s="340">
        <v>45068</v>
      </c>
      <c r="B43" s="321" t="s">
        <v>351</v>
      </c>
      <c r="C43" s="313"/>
      <c r="D43" s="290">
        <v>10</v>
      </c>
      <c r="E43" s="36" t="s">
        <v>107</v>
      </c>
      <c r="F43" s="36"/>
      <c r="G43" s="38"/>
      <c r="H43" s="38"/>
      <c r="I43" s="277">
        <v>890</v>
      </c>
      <c r="J43" s="53">
        <f>I43/'통장내역(환율표)'!$D$92</f>
        <v>129.52236807637453</v>
      </c>
      <c r="K43" s="271">
        <f t="shared" si="4"/>
        <v>188097.3186704742</v>
      </c>
      <c r="L43" s="271">
        <f t="shared" si="5"/>
        <v>27374.003343329834</v>
      </c>
      <c r="M43" s="36" t="s">
        <v>710</v>
      </c>
      <c r="N43" s="45">
        <f t="shared" si="3"/>
        <v>27374.002802557236</v>
      </c>
    </row>
    <row r="44" spans="1:14" s="5" customFormat="1" ht="13.5" customHeight="1">
      <c r="A44" s="340">
        <v>45068</v>
      </c>
      <c r="B44" s="321" t="s">
        <v>250</v>
      </c>
      <c r="C44" s="313"/>
      <c r="D44" s="290">
        <v>11</v>
      </c>
      <c r="E44" s="36" t="s">
        <v>107</v>
      </c>
      <c r="F44" s="36"/>
      <c r="G44" s="38"/>
      <c r="H44" s="38"/>
      <c r="I44" s="277">
        <v>7.2</v>
      </c>
      <c r="J44" s="53">
        <f>I44/'통장내역(환율표)'!$D$92</f>
        <v>1.0478214046628054</v>
      </c>
      <c r="K44" s="271">
        <f t="shared" si="4"/>
        <v>188090.11867047418</v>
      </c>
      <c r="L44" s="271">
        <f t="shared" si="5"/>
        <v>27372.955521925171</v>
      </c>
      <c r="M44" s="36"/>
      <c r="N44" s="45">
        <f t="shared" si="3"/>
        <v>27372.954981152572</v>
      </c>
    </row>
    <row r="45" spans="1:14" s="5" customFormat="1" ht="13.5" customHeight="1">
      <c r="A45" s="340">
        <v>45068</v>
      </c>
      <c r="B45" s="343" t="s">
        <v>700</v>
      </c>
      <c r="C45" s="313"/>
      <c r="D45" s="290">
        <v>12</v>
      </c>
      <c r="E45" s="36" t="s">
        <v>107</v>
      </c>
      <c r="F45" s="36"/>
      <c r="G45" s="38"/>
      <c r="H45" s="38"/>
      <c r="I45" s="277">
        <v>1010</v>
      </c>
      <c r="J45" s="53">
        <f>I45/'통장내역(환율표)'!$D$92</f>
        <v>146.98605815408797</v>
      </c>
      <c r="K45" s="271">
        <f t="shared" si="4"/>
        <v>187080.11867047418</v>
      </c>
      <c r="L45" s="271">
        <f t="shared" si="5"/>
        <v>27225.969463771082</v>
      </c>
      <c r="M45" s="36"/>
      <c r="N45" s="45">
        <f t="shared" si="3"/>
        <v>27225.968922998483</v>
      </c>
    </row>
    <row r="46" spans="1:14" s="5" customFormat="1" ht="13.5" customHeight="1">
      <c r="A46" s="340">
        <v>45068</v>
      </c>
      <c r="B46" s="321" t="s">
        <v>250</v>
      </c>
      <c r="C46" s="313"/>
      <c r="D46" s="290">
        <v>13</v>
      </c>
      <c r="E46" s="36" t="s">
        <v>107</v>
      </c>
      <c r="F46" s="36"/>
      <c r="G46" s="38"/>
      <c r="H46" s="38"/>
      <c r="I46" s="277">
        <v>3.6</v>
      </c>
      <c r="J46" s="53">
        <f>I46/'통장내역(환율표)'!$D$92</f>
        <v>0.52391070233140269</v>
      </c>
      <c r="K46" s="271">
        <f t="shared" si="4"/>
        <v>187076.51867047418</v>
      </c>
      <c r="L46" s="271">
        <f t="shared" si="5"/>
        <v>27225.445553068752</v>
      </c>
      <c r="M46" s="36"/>
      <c r="N46" s="45">
        <f t="shared" si="3"/>
        <v>27225.445012296153</v>
      </c>
    </row>
    <row r="47" spans="1:14" s="5" customFormat="1" ht="13.5" customHeight="1">
      <c r="A47" s="340">
        <v>45068</v>
      </c>
      <c r="B47" s="343" t="s">
        <v>127</v>
      </c>
      <c r="C47" s="313"/>
      <c r="D47" s="291">
        <v>14</v>
      </c>
      <c r="E47" s="36" t="s">
        <v>146</v>
      </c>
      <c r="F47" s="36" t="s">
        <v>147</v>
      </c>
      <c r="G47" s="38"/>
      <c r="H47" s="38"/>
      <c r="I47" s="277">
        <v>74.25</v>
      </c>
      <c r="J47" s="53">
        <f>I47/'통장내역(환율표)'!$D$92</f>
        <v>10.805658235585179</v>
      </c>
      <c r="K47" s="271">
        <f t="shared" si="4"/>
        <v>187002.26867047418</v>
      </c>
      <c r="L47" s="271">
        <f t="shared" si="5"/>
        <v>27214.639894833166</v>
      </c>
      <c r="M47" s="36" t="s">
        <v>711</v>
      </c>
      <c r="N47" s="45">
        <f t="shared" si="3"/>
        <v>27214.639354060568</v>
      </c>
    </row>
    <row r="48" spans="1:14" s="5" customFormat="1" ht="13.5" customHeight="1">
      <c r="A48" s="340">
        <v>45068</v>
      </c>
      <c r="B48" s="343" t="s">
        <v>712</v>
      </c>
      <c r="C48" s="313"/>
      <c r="D48" s="291">
        <v>15</v>
      </c>
      <c r="E48" s="36" t="s">
        <v>107</v>
      </c>
      <c r="F48" s="36"/>
      <c r="G48" s="38"/>
      <c r="H48" s="38"/>
      <c r="I48" s="277">
        <v>55</v>
      </c>
      <c r="J48" s="53">
        <f>I48/'통장내역(환율표)'!$D$92</f>
        <v>8.004191285618651</v>
      </c>
      <c r="K48" s="271">
        <f t="shared" si="4"/>
        <v>186947.26867047418</v>
      </c>
      <c r="L48" s="271">
        <f t="shared" si="5"/>
        <v>27206.635703547548</v>
      </c>
      <c r="M48" s="36" t="s">
        <v>713</v>
      </c>
      <c r="N48" s="45">
        <f t="shared" si="3"/>
        <v>27206.63516277495</v>
      </c>
    </row>
    <row r="49" spans="1:14" s="5" customFormat="1" ht="13.5" customHeight="1">
      <c r="A49" s="340">
        <v>45068</v>
      </c>
      <c r="B49" s="343" t="s">
        <v>124</v>
      </c>
      <c r="C49" s="313"/>
      <c r="D49" s="291">
        <v>16</v>
      </c>
      <c r="E49" s="36" t="s">
        <v>107</v>
      </c>
      <c r="F49" s="36"/>
      <c r="G49" s="38"/>
      <c r="H49" s="38"/>
      <c r="I49" s="277">
        <v>373.22</v>
      </c>
      <c r="J49" s="53">
        <f>I49/'통장내역(환율표)'!$D$92</f>
        <v>54.3149867567017</v>
      </c>
      <c r="K49" s="271">
        <f t="shared" si="4"/>
        <v>186574.04867047418</v>
      </c>
      <c r="L49" s="271">
        <f t="shared" si="5"/>
        <v>27152.320716790848</v>
      </c>
      <c r="M49" s="36"/>
      <c r="N49" s="45">
        <f t="shared" si="3"/>
        <v>27152.320176018249</v>
      </c>
    </row>
    <row r="50" spans="1:14" s="5" customFormat="1" ht="13.5" customHeight="1">
      <c r="A50" s="340">
        <v>45068</v>
      </c>
      <c r="B50" s="343" t="s">
        <v>116</v>
      </c>
      <c r="C50" s="313"/>
      <c r="D50" s="291">
        <v>17</v>
      </c>
      <c r="E50" s="36" t="s">
        <v>116</v>
      </c>
      <c r="F50" s="36" t="s">
        <v>140</v>
      </c>
      <c r="G50" s="38"/>
      <c r="H50" s="38"/>
      <c r="I50" s="277">
        <v>98.6</v>
      </c>
      <c r="J50" s="53">
        <f>I50/'통장내역(환율표)'!$D$92</f>
        <v>14.349332013854527</v>
      </c>
      <c r="K50" s="271">
        <f t="shared" si="4"/>
        <v>186475.44867047417</v>
      </c>
      <c r="L50" s="271">
        <f t="shared" si="5"/>
        <v>27137.971384776993</v>
      </c>
      <c r="M50" s="36" t="s">
        <v>711</v>
      </c>
      <c r="N50" s="45">
        <f t="shared" si="3"/>
        <v>27137.970844004394</v>
      </c>
    </row>
    <row r="51" spans="1:14" s="5" customFormat="1" ht="13.5" customHeight="1">
      <c r="A51" s="340">
        <v>45068</v>
      </c>
      <c r="B51" s="321" t="s">
        <v>250</v>
      </c>
      <c r="C51" s="313"/>
      <c r="D51" s="291">
        <v>18</v>
      </c>
      <c r="E51" s="36" t="s">
        <v>107</v>
      </c>
      <c r="F51" s="36"/>
      <c r="G51" s="38"/>
      <c r="H51" s="38"/>
      <c r="I51" s="277">
        <v>3.6</v>
      </c>
      <c r="J51" s="53">
        <f>I51/'통장내역(환율표)'!$D$92</f>
        <v>0.52391070233140269</v>
      </c>
      <c r="K51" s="271">
        <f t="shared" si="4"/>
        <v>186471.84867047417</v>
      </c>
      <c r="L51" s="271">
        <f t="shared" si="5"/>
        <v>27137.447474074663</v>
      </c>
      <c r="M51" s="36"/>
      <c r="N51" s="45">
        <f t="shared" si="3"/>
        <v>27137.446933302064</v>
      </c>
    </row>
    <row r="52" spans="1:14" s="5" customFormat="1" ht="13.5" customHeight="1">
      <c r="A52" s="340">
        <v>45068</v>
      </c>
      <c r="B52" s="343" t="s">
        <v>714</v>
      </c>
      <c r="C52" s="313"/>
      <c r="D52" s="290">
        <v>19</v>
      </c>
      <c r="E52" s="36" t="s">
        <v>146</v>
      </c>
      <c r="F52" s="36" t="s">
        <v>147</v>
      </c>
      <c r="G52" s="38"/>
      <c r="H52" s="38"/>
      <c r="I52" s="277">
        <f>900+100</f>
        <v>1000</v>
      </c>
      <c r="J52" s="53">
        <f>I52/'통장내역(환율표)'!$D$92</f>
        <v>145.53075064761185</v>
      </c>
      <c r="K52" s="271">
        <f t="shared" si="4"/>
        <v>185471.84867047417</v>
      </c>
      <c r="L52" s="271">
        <f t="shared" si="5"/>
        <v>26991.91672342705</v>
      </c>
      <c r="M52" s="36"/>
      <c r="N52" s="45">
        <f t="shared" si="3"/>
        <v>26991.916182654451</v>
      </c>
    </row>
    <row r="53" spans="1:14" s="5" customFormat="1" ht="13.5" customHeight="1">
      <c r="A53" s="340">
        <v>45068</v>
      </c>
      <c r="B53" s="343" t="s">
        <v>715</v>
      </c>
      <c r="C53" s="313"/>
      <c r="D53" s="290">
        <v>20</v>
      </c>
      <c r="E53" s="36" t="s">
        <v>146</v>
      </c>
      <c r="F53" s="36" t="s">
        <v>147</v>
      </c>
      <c r="G53" s="38"/>
      <c r="H53" s="38"/>
      <c r="I53" s="277">
        <v>2520</v>
      </c>
      <c r="J53" s="53">
        <f>I53/'통장내역(환율표)'!$D$92</f>
        <v>366.73749163198187</v>
      </c>
      <c r="K53" s="271">
        <f t="shared" si="4"/>
        <v>182951.84867047417</v>
      </c>
      <c r="L53" s="271">
        <f t="shared" si="5"/>
        <v>26625.179231795068</v>
      </c>
      <c r="M53" s="36"/>
      <c r="N53" s="45">
        <f t="shared" si="3"/>
        <v>26625.178691022469</v>
      </c>
    </row>
    <row r="54" spans="1:14" s="5" customFormat="1" ht="13.5" customHeight="1">
      <c r="A54" s="340">
        <v>45068</v>
      </c>
      <c r="B54" s="343" t="s">
        <v>716</v>
      </c>
      <c r="C54" s="313"/>
      <c r="D54" s="290">
        <v>21</v>
      </c>
      <c r="E54" s="36" t="s">
        <v>146</v>
      </c>
      <c r="F54" s="36" t="s">
        <v>147</v>
      </c>
      <c r="G54" s="38"/>
      <c r="H54" s="38"/>
      <c r="I54" s="277">
        <v>328</v>
      </c>
      <c r="J54" s="53">
        <f>I54/'통장내역(환율표)'!$D$92</f>
        <v>47.734086212416685</v>
      </c>
      <c r="K54" s="271">
        <f t="shared" si="4"/>
        <v>182623.84867047417</v>
      </c>
      <c r="L54" s="271">
        <f t="shared" si="5"/>
        <v>26577.445145582649</v>
      </c>
      <c r="M54" s="36"/>
      <c r="N54" s="45">
        <f t="shared" si="3"/>
        <v>26577.444604810051</v>
      </c>
    </row>
    <row r="55" spans="1:14" s="5" customFormat="1" ht="13.5" customHeight="1">
      <c r="A55" s="340">
        <v>45068</v>
      </c>
      <c r="B55" s="321" t="s">
        <v>250</v>
      </c>
      <c r="C55" s="313"/>
      <c r="D55" s="290">
        <v>22</v>
      </c>
      <c r="E55" s="36" t="s">
        <v>107</v>
      </c>
      <c r="F55" s="36"/>
      <c r="G55" s="38"/>
      <c r="H55" s="38"/>
      <c r="I55" s="277">
        <v>3.6</v>
      </c>
      <c r="J55" s="53">
        <f>I55/'통장내역(환율표)'!$D$92</f>
        <v>0.52391070233140269</v>
      </c>
      <c r="K55" s="271">
        <f t="shared" si="4"/>
        <v>182620.24867047416</v>
      </c>
      <c r="L55" s="271">
        <f t="shared" si="5"/>
        <v>26576.921234880319</v>
      </c>
      <c r="M55" s="36"/>
      <c r="N55" s="45">
        <f t="shared" si="3"/>
        <v>26576.920694107721</v>
      </c>
    </row>
    <row r="56" spans="1:14" s="5" customFormat="1" ht="13.5" customHeight="1">
      <c r="A56" s="340">
        <v>45068</v>
      </c>
      <c r="B56" s="343" t="s">
        <v>701</v>
      </c>
      <c r="C56" s="313"/>
      <c r="D56" s="291">
        <v>23</v>
      </c>
      <c r="E56" s="36" t="s">
        <v>107</v>
      </c>
      <c r="F56" s="36"/>
      <c r="G56" s="38"/>
      <c r="H56" s="38"/>
      <c r="I56" s="277">
        <v>65910</v>
      </c>
      <c r="J56" s="53">
        <f>I56/'통장내역(환율표)'!$D$92</f>
        <v>9591.9317751840972</v>
      </c>
      <c r="K56" s="271">
        <f t="shared" si="4"/>
        <v>116710.24867047416</v>
      </c>
      <c r="L56" s="271">
        <f t="shared" si="5"/>
        <v>16984.989459696222</v>
      </c>
      <c r="M56" s="36"/>
      <c r="N56" s="45">
        <f t="shared" si="3"/>
        <v>16984.988918923624</v>
      </c>
    </row>
    <row r="57" spans="1:14" s="5" customFormat="1" ht="13.5" customHeight="1">
      <c r="A57" s="340">
        <v>45068</v>
      </c>
      <c r="B57" s="321" t="s">
        <v>250</v>
      </c>
      <c r="C57" s="313"/>
      <c r="D57" s="291">
        <v>24</v>
      </c>
      <c r="E57" s="36" t="s">
        <v>107</v>
      </c>
      <c r="F57" s="36"/>
      <c r="G57" s="38"/>
      <c r="H57" s="38"/>
      <c r="I57" s="277">
        <v>7.2</v>
      </c>
      <c r="J57" s="53">
        <f>I57/'통장내역(환율표)'!$D$92</f>
        <v>1.0478214046628054</v>
      </c>
      <c r="K57" s="271">
        <f t="shared" si="4"/>
        <v>116703.04867047416</v>
      </c>
      <c r="L57" s="271">
        <f t="shared" si="5"/>
        <v>16983.941638291559</v>
      </c>
      <c r="M57" s="36"/>
      <c r="N57" s="45">
        <f t="shared" si="3"/>
        <v>16983.94109751896</v>
      </c>
    </row>
    <row r="58" spans="1:14" s="5" customFormat="1" ht="13.5" customHeight="1">
      <c r="A58" s="340">
        <v>45068</v>
      </c>
      <c r="B58" s="343" t="s">
        <v>702</v>
      </c>
      <c r="C58" s="313"/>
      <c r="D58" s="291">
        <v>25</v>
      </c>
      <c r="E58" s="36" t="s">
        <v>125</v>
      </c>
      <c r="F58" s="36" t="s">
        <v>145</v>
      </c>
      <c r="G58" s="38"/>
      <c r="H58" s="38"/>
      <c r="I58" s="277">
        <v>5769.66</v>
      </c>
      <c r="J58" s="53">
        <f>I58/'통장내역(환율표)'!$D$92</f>
        <v>839.66295078150017</v>
      </c>
      <c r="K58" s="271">
        <f t="shared" si="4"/>
        <v>110933.38867047416</v>
      </c>
      <c r="L58" s="271">
        <f t="shared" si="5"/>
        <v>16144.278687510059</v>
      </c>
      <c r="M58" s="36"/>
      <c r="N58" s="45">
        <f t="shared" si="3"/>
        <v>16144.278146737461</v>
      </c>
    </row>
    <row r="59" spans="1:14" s="5" customFormat="1" ht="13.5" customHeight="1">
      <c r="A59" s="340">
        <v>45068</v>
      </c>
      <c r="B59" s="321" t="s">
        <v>250</v>
      </c>
      <c r="C59" s="313"/>
      <c r="D59" s="291">
        <v>26</v>
      </c>
      <c r="E59" s="36" t="s">
        <v>107</v>
      </c>
      <c r="F59" s="36"/>
      <c r="G59" s="38"/>
      <c r="H59" s="38"/>
      <c r="I59" s="277">
        <v>3.6</v>
      </c>
      <c r="J59" s="53">
        <f>I59/'통장내역(환율표)'!$D$92</f>
        <v>0.52391070233140269</v>
      </c>
      <c r="K59" s="271">
        <f t="shared" si="4"/>
        <v>110929.78867047415</v>
      </c>
      <c r="L59" s="271">
        <f t="shared" si="5"/>
        <v>16143.754776807727</v>
      </c>
      <c r="M59" s="36"/>
      <c r="N59" s="45">
        <f t="shared" si="3"/>
        <v>16143.754236035129</v>
      </c>
    </row>
    <row r="60" spans="1:14" s="5" customFormat="1" ht="13.5" customHeight="1">
      <c r="A60" s="340">
        <v>45068</v>
      </c>
      <c r="B60" s="343" t="s">
        <v>703</v>
      </c>
      <c r="C60" s="313"/>
      <c r="D60" s="291">
        <v>27</v>
      </c>
      <c r="E60" s="36" t="s">
        <v>107</v>
      </c>
      <c r="F60" s="36"/>
      <c r="G60" s="38"/>
      <c r="H60" s="38"/>
      <c r="I60" s="277">
        <v>2400</v>
      </c>
      <c r="J60" s="53">
        <f>I60/'통장내역(환율표)'!$D$92</f>
        <v>349.27380155426846</v>
      </c>
      <c r="K60" s="271">
        <f t="shared" si="4"/>
        <v>108529.78867047415</v>
      </c>
      <c r="L60" s="271">
        <f t="shared" si="5"/>
        <v>15794.480975253458</v>
      </c>
      <c r="M60" s="36"/>
      <c r="N60" s="45">
        <f t="shared" si="3"/>
        <v>15794.48043448086</v>
      </c>
    </row>
    <row r="61" spans="1:14" s="5" customFormat="1" ht="13.5" customHeight="1">
      <c r="A61" s="340">
        <v>45068</v>
      </c>
      <c r="B61" s="321" t="s">
        <v>250</v>
      </c>
      <c r="C61" s="313"/>
      <c r="D61" s="291">
        <v>28</v>
      </c>
      <c r="E61" s="36" t="s">
        <v>107</v>
      </c>
      <c r="F61" s="36"/>
      <c r="G61" s="38"/>
      <c r="H61" s="38"/>
      <c r="I61" s="277">
        <v>3.6</v>
      </c>
      <c r="J61" s="53">
        <f>I61/'통장내역(환율표)'!$D$92</f>
        <v>0.52391070233140269</v>
      </c>
      <c r="K61" s="271">
        <f t="shared" si="4"/>
        <v>108526.18867047415</v>
      </c>
      <c r="L61" s="271">
        <f t="shared" si="5"/>
        <v>15793.957064551127</v>
      </c>
      <c r="M61" s="36"/>
      <c r="N61" s="45">
        <f t="shared" si="3"/>
        <v>15793.956523778528</v>
      </c>
    </row>
    <row r="62" spans="1:14" s="5" customFormat="1" ht="13.5" customHeight="1">
      <c r="A62" s="340">
        <v>45068</v>
      </c>
      <c r="B62" s="343" t="s">
        <v>704</v>
      </c>
      <c r="C62" s="313"/>
      <c r="D62" s="291">
        <v>29</v>
      </c>
      <c r="E62" s="36" t="s">
        <v>146</v>
      </c>
      <c r="F62" s="36" t="s">
        <v>147</v>
      </c>
      <c r="G62" s="38"/>
      <c r="H62" s="38"/>
      <c r="I62" s="342">
        <v>368.29</v>
      </c>
      <c r="J62" s="53">
        <f>I62/'통장내역(환율표)'!$D$92</f>
        <v>53.597520156008969</v>
      </c>
      <c r="K62" s="271">
        <f t="shared" si="4"/>
        <v>108157.89867047415</v>
      </c>
      <c r="L62" s="271">
        <f t="shared" si="5"/>
        <v>15740.359544395118</v>
      </c>
      <c r="M62" s="36"/>
      <c r="N62" s="45">
        <f t="shared" si="3"/>
        <v>15740.35900362252</v>
      </c>
    </row>
    <row r="63" spans="1:14" s="5" customFormat="1" ht="13.5" customHeight="1">
      <c r="A63" s="340">
        <v>45068</v>
      </c>
      <c r="B63" s="321" t="s">
        <v>250</v>
      </c>
      <c r="C63" s="313"/>
      <c r="D63" s="291">
        <v>30</v>
      </c>
      <c r="E63" s="36" t="s">
        <v>107</v>
      </c>
      <c r="F63" s="36"/>
      <c r="G63" s="38"/>
      <c r="H63" s="38"/>
      <c r="I63" s="277">
        <v>3.6</v>
      </c>
      <c r="J63" s="53">
        <f>I63/'통장내역(환율표)'!$D$92</f>
        <v>0.52391070233140269</v>
      </c>
      <c r="K63" s="271">
        <f t="shared" si="4"/>
        <v>108154.29867047415</v>
      </c>
      <c r="L63" s="271">
        <f t="shared" si="5"/>
        <v>15739.835633692786</v>
      </c>
      <c r="M63" s="36"/>
      <c r="N63" s="45">
        <f t="shared" si="3"/>
        <v>15739.835092920188</v>
      </c>
    </row>
    <row r="64" spans="1:14" s="5" customFormat="1" ht="13.5" customHeight="1">
      <c r="A64" s="340">
        <v>45068</v>
      </c>
      <c r="B64" s="343" t="s">
        <v>705</v>
      </c>
      <c r="C64" s="313"/>
      <c r="D64" s="291">
        <v>31</v>
      </c>
      <c r="E64" s="36" t="s">
        <v>146</v>
      </c>
      <c r="F64" s="36" t="s">
        <v>147</v>
      </c>
      <c r="G64" s="38"/>
      <c r="H64" s="35"/>
      <c r="I64" s="38">
        <v>4645.9399999999996</v>
      </c>
      <c r="J64" s="53">
        <f>I64/'통장내역(환율표)'!$D$92</f>
        <v>676.12713566376578</v>
      </c>
      <c r="K64" s="271">
        <f t="shared" si="4"/>
        <v>103508.35867047415</v>
      </c>
      <c r="L64" s="271">
        <f t="shared" si="5"/>
        <v>15063.70849802902</v>
      </c>
      <c r="M64" s="36"/>
      <c r="N64" s="45">
        <f t="shared" si="3"/>
        <v>15063.707957256422</v>
      </c>
    </row>
    <row r="65" spans="1:14" s="5" customFormat="1" ht="13.5" customHeight="1">
      <c r="A65" s="340">
        <v>45068</v>
      </c>
      <c r="B65" s="321" t="s">
        <v>250</v>
      </c>
      <c r="C65" s="313"/>
      <c r="D65" s="291">
        <v>32</v>
      </c>
      <c r="E65" s="36" t="s">
        <v>107</v>
      </c>
      <c r="F65" s="36"/>
      <c r="G65" s="38"/>
      <c r="H65" s="35"/>
      <c r="I65" s="38">
        <v>3.6</v>
      </c>
      <c r="J65" s="53">
        <f>I65/'통장내역(환율표)'!$D$92</f>
        <v>0.52391070233140269</v>
      </c>
      <c r="K65" s="271">
        <f t="shared" si="4"/>
        <v>103504.75867047414</v>
      </c>
      <c r="L65" s="271">
        <f t="shared" si="5"/>
        <v>15063.184587326688</v>
      </c>
      <c r="M65" s="36"/>
      <c r="N65" s="45">
        <f t="shared" si="3"/>
        <v>15063.18404655409</v>
      </c>
    </row>
    <row r="66" spans="1:14" s="5" customFormat="1" ht="13.5" customHeight="1">
      <c r="A66" s="340">
        <v>45068</v>
      </c>
      <c r="B66" s="343" t="s">
        <v>706</v>
      </c>
      <c r="C66" s="313"/>
      <c r="D66" s="290">
        <v>33</v>
      </c>
      <c r="E66" s="36" t="s">
        <v>146</v>
      </c>
      <c r="F66" s="36" t="s">
        <v>147</v>
      </c>
      <c r="G66" s="38"/>
      <c r="H66" s="35"/>
      <c r="I66" s="38">
        <v>4848</v>
      </c>
      <c r="J66" s="53">
        <f>I66/'통장내역(환율표)'!$D$92</f>
        <v>705.53307913962226</v>
      </c>
      <c r="K66" s="271">
        <f t="shared" si="4"/>
        <v>98656.758670474141</v>
      </c>
      <c r="L66" s="271">
        <f t="shared" si="5"/>
        <v>14357.651508187066</v>
      </c>
      <c r="M66" s="36"/>
      <c r="N66" s="45">
        <f t="shared" si="3"/>
        <v>14357.650967414467</v>
      </c>
    </row>
    <row r="67" spans="1:14" s="5" customFormat="1" ht="13.5" customHeight="1">
      <c r="A67" s="340">
        <v>45068</v>
      </c>
      <c r="B67" s="321" t="s">
        <v>250</v>
      </c>
      <c r="C67" s="313"/>
      <c r="D67" s="290">
        <v>34</v>
      </c>
      <c r="E67" s="36" t="s">
        <v>107</v>
      </c>
      <c r="F67" s="36"/>
      <c r="G67" s="38"/>
      <c r="H67" s="35"/>
      <c r="I67" s="38">
        <v>3.6</v>
      </c>
      <c r="J67" s="53">
        <f>I67/'통장내역(환율표)'!$D$92</f>
        <v>0.52391070233140269</v>
      </c>
      <c r="K67" s="271">
        <f t="shared" si="4"/>
        <v>98653.158670474135</v>
      </c>
      <c r="L67" s="271">
        <f t="shared" si="5"/>
        <v>14357.127597484734</v>
      </c>
      <c r="M67" s="36"/>
      <c r="N67" s="45">
        <f t="shared" si="3"/>
        <v>14357.127056712136</v>
      </c>
    </row>
    <row r="68" spans="1:14" s="5" customFormat="1" ht="13.5" customHeight="1">
      <c r="A68" s="340">
        <v>45068</v>
      </c>
      <c r="B68" s="344" t="s">
        <v>717</v>
      </c>
      <c r="C68" s="313"/>
      <c r="D68" s="33">
        <v>35</v>
      </c>
      <c r="E68" s="36" t="s">
        <v>107</v>
      </c>
      <c r="F68" s="36"/>
      <c r="G68" s="38"/>
      <c r="H68" s="38"/>
      <c r="I68" s="278">
        <v>305.79000000000002</v>
      </c>
      <c r="J68" s="53">
        <f>I68/'통장내역(환율표)'!$D$92</f>
        <v>44.501848240533228</v>
      </c>
      <c r="K68" s="271">
        <f t="shared" si="4"/>
        <v>98347.368670474141</v>
      </c>
      <c r="L68" s="271">
        <f t="shared" si="5"/>
        <v>14312.6257492442</v>
      </c>
      <c r="M68" s="36"/>
      <c r="N68" s="45">
        <f t="shared" si="3"/>
        <v>14312.625208471602</v>
      </c>
    </row>
    <row r="69" spans="1:14" s="5" customFormat="1" ht="13.5" customHeight="1">
      <c r="A69" s="340">
        <v>45068</v>
      </c>
      <c r="B69" s="344" t="s">
        <v>718</v>
      </c>
      <c r="C69" s="313"/>
      <c r="D69" s="33">
        <v>36</v>
      </c>
      <c r="E69" s="36" t="s">
        <v>107</v>
      </c>
      <c r="F69" s="36"/>
      <c r="G69" s="38"/>
      <c r="H69" s="38"/>
      <c r="I69" s="278">
        <v>114.8</v>
      </c>
      <c r="J69" s="53">
        <f>I69/'통장내역(환율표)'!$D$92</f>
        <v>16.706930174345839</v>
      </c>
      <c r="K69" s="271">
        <f t="shared" si="4"/>
        <v>98232.568670474138</v>
      </c>
      <c r="L69" s="271">
        <f t="shared" si="5"/>
        <v>14295.918819069855</v>
      </c>
      <c r="M69" s="36"/>
      <c r="N69" s="45">
        <f t="shared" si="3"/>
        <v>14295.918278297257</v>
      </c>
    </row>
    <row r="70" spans="1:14" s="5" customFormat="1" ht="13.5" customHeight="1">
      <c r="A70" s="340">
        <v>45068</v>
      </c>
      <c r="B70" s="344" t="s">
        <v>719</v>
      </c>
      <c r="C70" s="313"/>
      <c r="D70" s="33">
        <v>37</v>
      </c>
      <c r="E70" s="36" t="s">
        <v>107</v>
      </c>
      <c r="F70" s="36"/>
      <c r="G70" s="38"/>
      <c r="H70" s="38"/>
      <c r="I70" s="39">
        <v>300</v>
      </c>
      <c r="J70" s="53">
        <f>I70/'통장내역(환율표)'!$D$92</f>
        <v>43.659225194283557</v>
      </c>
      <c r="K70" s="271">
        <f t="shared" si="4"/>
        <v>97932.568670474138</v>
      </c>
      <c r="L70" s="271">
        <f t="shared" si="5"/>
        <v>14252.259593875571</v>
      </c>
      <c r="M70" s="36"/>
      <c r="N70" s="45">
        <f t="shared" si="3"/>
        <v>14252.259053102973</v>
      </c>
    </row>
    <row r="71" spans="1:14" s="5" customFormat="1" ht="13.5" customHeight="1">
      <c r="A71" s="340">
        <v>45068</v>
      </c>
      <c r="B71" s="344" t="s">
        <v>720</v>
      </c>
      <c r="C71" s="313"/>
      <c r="D71" s="33">
        <v>38</v>
      </c>
      <c r="E71" s="36" t="s">
        <v>107</v>
      </c>
      <c r="F71" s="36"/>
      <c r="G71" s="38"/>
      <c r="H71" s="38"/>
      <c r="I71" s="278">
        <v>185</v>
      </c>
      <c r="J71" s="53">
        <f>I71/'통장내역(환율표)'!$D$92</f>
        <v>26.923188869808193</v>
      </c>
      <c r="K71" s="271">
        <f t="shared" si="4"/>
        <v>97747.568670474138</v>
      </c>
      <c r="L71" s="271">
        <f t="shared" si="5"/>
        <v>14225.336405005763</v>
      </c>
      <c r="M71" s="36"/>
      <c r="N71" s="45">
        <f t="shared" si="3"/>
        <v>14225.335864233164</v>
      </c>
    </row>
    <row r="72" spans="1:14" s="5" customFormat="1" ht="13.5" customHeight="1">
      <c r="A72" s="340">
        <v>45068</v>
      </c>
      <c r="B72" s="344" t="s">
        <v>721</v>
      </c>
      <c r="C72" s="313"/>
      <c r="D72" s="33">
        <v>39</v>
      </c>
      <c r="E72" s="36" t="s">
        <v>107</v>
      </c>
      <c r="F72" s="36"/>
      <c r="G72" s="38"/>
      <c r="H72" s="38"/>
      <c r="I72" s="278">
        <v>616</v>
      </c>
      <c r="J72" s="53">
        <f>I72/'통장내역(환율표)'!$D$92</f>
        <v>89.6469423989289</v>
      </c>
      <c r="K72" s="271">
        <f t="shared" si="4"/>
        <v>97131.568670474138</v>
      </c>
      <c r="L72" s="271">
        <f t="shared" si="5"/>
        <v>14135.689462606833</v>
      </c>
      <c r="M72" s="36"/>
      <c r="N72" s="45">
        <f t="shared" si="3"/>
        <v>14135.688921834235</v>
      </c>
    </row>
    <row r="73" spans="1:14" s="5" customFormat="1" ht="13.5" customHeight="1">
      <c r="A73" s="340">
        <v>45068</v>
      </c>
      <c r="B73" s="321" t="s">
        <v>250</v>
      </c>
      <c r="C73" s="313"/>
      <c r="D73" s="33">
        <v>40</v>
      </c>
      <c r="E73" s="36" t="s">
        <v>107</v>
      </c>
      <c r="F73" s="36"/>
      <c r="G73" s="38"/>
      <c r="H73" s="38"/>
      <c r="I73" s="278">
        <v>3.6</v>
      </c>
      <c r="J73" s="53">
        <f>I73/'통장내역(환율표)'!$D$92</f>
        <v>0.52391070233140269</v>
      </c>
      <c r="K73" s="271">
        <f t="shared" si="4"/>
        <v>97127.968670474133</v>
      </c>
      <c r="L73" s="271">
        <f t="shared" si="5"/>
        <v>14135.165551904502</v>
      </c>
      <c r="M73" s="36"/>
      <c r="N73" s="45">
        <f t="shared" si="3"/>
        <v>14135.165011131903</v>
      </c>
    </row>
    <row r="74" spans="1:14" s="5" customFormat="1" ht="13.5" customHeight="1">
      <c r="A74" s="340">
        <v>45068</v>
      </c>
      <c r="B74" s="321" t="s">
        <v>621</v>
      </c>
      <c r="C74" s="313"/>
      <c r="D74" s="33">
        <v>41</v>
      </c>
      <c r="E74" s="36" t="s">
        <v>116</v>
      </c>
      <c r="F74" s="36" t="s">
        <v>140</v>
      </c>
      <c r="G74" s="38"/>
      <c r="H74" s="38"/>
      <c r="I74" s="278">
        <v>499</v>
      </c>
      <c r="J74" s="53">
        <f>I74/'통장내역(환율표)'!$D$92</f>
        <v>72.619844573158318</v>
      </c>
      <c r="K74" s="271">
        <f t="shared" si="4"/>
        <v>96628.968670474133</v>
      </c>
      <c r="L74" s="271">
        <f t="shared" si="5"/>
        <v>14062.545707331343</v>
      </c>
      <c r="M74" s="36"/>
      <c r="N74" s="45">
        <f t="shared" si="3"/>
        <v>14062.545166558744</v>
      </c>
    </row>
    <row r="75" spans="1:14" s="5" customFormat="1" ht="13.5" customHeight="1">
      <c r="A75" s="340">
        <v>45068</v>
      </c>
      <c r="B75" s="321" t="s">
        <v>443</v>
      </c>
      <c r="C75" s="313"/>
      <c r="D75" s="33">
        <v>42</v>
      </c>
      <c r="E75" s="36" t="s">
        <v>116</v>
      </c>
      <c r="F75" s="36" t="s">
        <v>140</v>
      </c>
      <c r="G75" s="38"/>
      <c r="H75" s="38"/>
      <c r="I75" s="278">
        <v>398</v>
      </c>
      <c r="J75" s="53">
        <f>I75/'통장내역(환율표)'!$D$92</f>
        <v>57.921238757749514</v>
      </c>
      <c r="K75" s="271">
        <f t="shared" si="4"/>
        <v>96230.968670474133</v>
      </c>
      <c r="L75" s="271">
        <f t="shared" si="5"/>
        <v>14004.624468573593</v>
      </c>
      <c r="M75" s="36"/>
      <c r="N75" s="45">
        <f t="shared" si="3"/>
        <v>14004.623927800994</v>
      </c>
    </row>
    <row r="76" spans="1:14" s="5" customFormat="1" ht="13.5" customHeight="1">
      <c r="A76" s="340">
        <v>45068</v>
      </c>
      <c r="B76" s="321" t="s">
        <v>250</v>
      </c>
      <c r="C76" s="313"/>
      <c r="D76" s="33">
        <v>43</v>
      </c>
      <c r="E76" s="36" t="s">
        <v>107</v>
      </c>
      <c r="F76" s="36"/>
      <c r="G76" s="38"/>
      <c r="H76" s="38"/>
      <c r="I76" s="278">
        <v>3.6</v>
      </c>
      <c r="J76" s="53">
        <f>I76/'통장내역(환율표)'!$D$92</f>
        <v>0.52391070233140269</v>
      </c>
      <c r="K76" s="271">
        <f t="shared" si="4"/>
        <v>96227.368670474127</v>
      </c>
      <c r="L76" s="271">
        <f t="shared" si="5"/>
        <v>14004.100557871261</v>
      </c>
      <c r="M76" s="36"/>
      <c r="N76" s="45">
        <f t="shared" si="3"/>
        <v>14004.100017098663</v>
      </c>
    </row>
    <row r="77" spans="1:14" s="5" customFormat="1" ht="13.5" customHeight="1">
      <c r="A77" s="340">
        <v>45068</v>
      </c>
      <c r="B77" s="343" t="s">
        <v>707</v>
      </c>
      <c r="C77" s="313"/>
      <c r="D77" s="33">
        <v>44</v>
      </c>
      <c r="E77" s="36" t="s">
        <v>146</v>
      </c>
      <c r="F77" s="36" t="s">
        <v>147</v>
      </c>
      <c r="G77" s="38"/>
      <c r="H77" s="38"/>
      <c r="I77" s="38">
        <v>4798</v>
      </c>
      <c r="J77" s="53">
        <f>I77/'통장내역(환율표)'!$D$92</f>
        <v>698.25654160724162</v>
      </c>
      <c r="K77" s="271">
        <f t="shared" si="4"/>
        <v>91429.368670474127</v>
      </c>
      <c r="L77" s="271">
        <f t="shared" si="5"/>
        <v>13305.84401626402</v>
      </c>
      <c r="M77" s="36"/>
      <c r="N77" s="45">
        <f t="shared" si="3"/>
        <v>13305.843475491421</v>
      </c>
    </row>
    <row r="78" spans="1:14" s="5" customFormat="1" ht="13.5" customHeight="1">
      <c r="A78" s="340">
        <v>45068</v>
      </c>
      <c r="B78" s="321" t="s">
        <v>250</v>
      </c>
      <c r="C78" s="313"/>
      <c r="D78" s="33">
        <v>45</v>
      </c>
      <c r="E78" s="36" t="s">
        <v>107</v>
      </c>
      <c r="F78" s="36"/>
      <c r="G78" s="38"/>
      <c r="H78" s="38"/>
      <c r="I78" s="38">
        <v>3.6</v>
      </c>
      <c r="J78" s="53">
        <f>I78/'통장내역(환율표)'!$D$92</f>
        <v>0.52391070233140269</v>
      </c>
      <c r="K78" s="271">
        <f t="shared" si="4"/>
        <v>91425.768670474121</v>
      </c>
      <c r="L78" s="271">
        <f t="shared" si="5"/>
        <v>13305.320105561688</v>
      </c>
      <c r="M78" s="36"/>
      <c r="N78" s="45">
        <f t="shared" si="3"/>
        <v>13305.31956478909</v>
      </c>
    </row>
    <row r="79" spans="1:14" s="5" customFormat="1" ht="13.5" customHeight="1">
      <c r="A79" s="340">
        <v>45068</v>
      </c>
      <c r="B79" s="343" t="s">
        <v>708</v>
      </c>
      <c r="C79" s="313"/>
      <c r="D79" s="33">
        <v>46</v>
      </c>
      <c r="E79" s="36" t="s">
        <v>125</v>
      </c>
      <c r="F79" s="36" t="s">
        <v>145</v>
      </c>
      <c r="G79" s="38"/>
      <c r="H79" s="35"/>
      <c r="I79" s="38">
        <v>11602.2</v>
      </c>
      <c r="J79" s="53">
        <f>I79/'통장내역(환율표)'!$D$92</f>
        <v>1688.4768751637223</v>
      </c>
      <c r="K79" s="271">
        <f t="shared" si="4"/>
        <v>79823.568670474124</v>
      </c>
      <c r="L79" s="271">
        <f t="shared" si="5"/>
        <v>11616.843230397966</v>
      </c>
      <c r="M79" s="36"/>
      <c r="N79" s="45">
        <f t="shared" si="3"/>
        <v>11616.842689625368</v>
      </c>
    </row>
    <row r="80" spans="1:14" s="5" customFormat="1" ht="13.5" customHeight="1">
      <c r="A80" s="340">
        <v>45068</v>
      </c>
      <c r="B80" s="321" t="s">
        <v>250</v>
      </c>
      <c r="C80" s="313"/>
      <c r="D80" s="33">
        <v>47</v>
      </c>
      <c r="E80" s="36" t="s">
        <v>107</v>
      </c>
      <c r="F80" s="36"/>
      <c r="G80" s="38"/>
      <c r="H80" s="35"/>
      <c r="I80" s="38">
        <v>7.2</v>
      </c>
      <c r="J80" s="53">
        <f>I80/'통장내역(환율표)'!$D$92</f>
        <v>1.0478214046628054</v>
      </c>
      <c r="K80" s="271">
        <f t="shared" si="4"/>
        <v>79816.368670474127</v>
      </c>
      <c r="L80" s="271">
        <f t="shared" si="5"/>
        <v>11615.795408993303</v>
      </c>
      <c r="M80" s="36"/>
      <c r="N80" s="45">
        <f t="shared" si="3"/>
        <v>11615.794868220704</v>
      </c>
    </row>
    <row r="81" spans="1:15" s="5" customFormat="1" ht="13.5" customHeight="1">
      <c r="A81" s="340">
        <v>45068</v>
      </c>
      <c r="B81" s="344" t="s">
        <v>709</v>
      </c>
      <c r="C81" s="313"/>
      <c r="D81" s="33">
        <v>48</v>
      </c>
      <c r="E81" s="36" t="s">
        <v>146</v>
      </c>
      <c r="F81" s="36" t="s">
        <v>147</v>
      </c>
      <c r="G81" s="38"/>
      <c r="H81" s="35"/>
      <c r="I81" s="38">
        <v>420.29</v>
      </c>
      <c r="J81" s="53">
        <f>I81/'통장내역(환율표)'!$D$92</f>
        <v>61.165119189684788</v>
      </c>
      <c r="K81" s="271">
        <f t="shared" si="4"/>
        <v>79396.078670474133</v>
      </c>
      <c r="L81" s="271">
        <f t="shared" si="5"/>
        <v>11554.630289803617</v>
      </c>
      <c r="M81" s="36"/>
      <c r="N81" s="45">
        <f t="shared" si="3"/>
        <v>11554.629749031019</v>
      </c>
    </row>
    <row r="82" spans="1:15" s="5" customFormat="1" ht="13.5" customHeight="1">
      <c r="A82" s="340">
        <v>45068</v>
      </c>
      <c r="B82" s="321" t="s">
        <v>250</v>
      </c>
      <c r="C82" s="313"/>
      <c r="D82" s="311">
        <v>49</v>
      </c>
      <c r="E82" s="36" t="s">
        <v>107</v>
      </c>
      <c r="F82" s="36"/>
      <c r="G82" s="38"/>
      <c r="H82" s="35"/>
      <c r="I82" s="38">
        <v>3.6</v>
      </c>
      <c r="J82" s="53">
        <f>I82/'통장내역(환율표)'!$D$92</f>
        <v>0.52391070233140269</v>
      </c>
      <c r="K82" s="271">
        <f t="shared" si="4"/>
        <v>79392.478670474127</v>
      </c>
      <c r="L82" s="271">
        <f t="shared" si="5"/>
        <v>11554.106379101286</v>
      </c>
      <c r="M82" s="36"/>
      <c r="N82" s="45">
        <f t="shared" si="3"/>
        <v>11554.105838328687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53" spans="1:15">
      <c r="B153" s="322"/>
    </row>
    <row r="154" spans="1:15">
      <c r="B154" s="322"/>
    </row>
  </sheetData>
  <autoFilter ref="A18:N152" xr:uid="{00000000-0009-0000-0000-000010000000}">
    <filterColumn colId="1" showButton="0"/>
  </autoFilter>
  <mergeCells count="10"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J29"/>
  <sheetViews>
    <sheetView zoomScale="85" zoomScaleNormal="85" workbookViewId="0">
      <selection activeCell="J6" sqref="I6:J28"/>
    </sheetView>
  </sheetViews>
  <sheetFormatPr defaultColWidth="9" defaultRowHeight="13.5"/>
  <cols>
    <col min="1" max="1" width="3.75" style="326" customWidth="1"/>
    <col min="2" max="2" width="5.75" style="334" customWidth="1"/>
    <col min="3" max="3" width="9" style="326"/>
    <col min="4" max="4" width="9.375" style="326" customWidth="1"/>
    <col min="5" max="5" width="23.125" style="326" customWidth="1"/>
    <col min="6" max="6" width="10.375" style="235" bestFit="1" customWidth="1"/>
    <col min="7" max="7" width="12.75" style="326" customWidth="1"/>
    <col min="8" max="8" width="21" style="326" customWidth="1"/>
    <col min="9" max="9" width="19.125" style="326" customWidth="1"/>
    <col min="10" max="10" width="101.875" style="326" bestFit="1" customWidth="1"/>
    <col min="11" max="256" width="9" style="326"/>
    <col min="257" max="257" width="3.75" style="326" customWidth="1"/>
    <col min="258" max="512" width="9" style="326"/>
    <col min="513" max="513" width="3.75" style="326" customWidth="1"/>
    <col min="514" max="768" width="9" style="326"/>
    <col min="769" max="769" width="3.75" style="326" customWidth="1"/>
    <col min="770" max="1024" width="9" style="326"/>
    <col min="1025" max="1025" width="3.75" style="326" customWidth="1"/>
    <col min="1026" max="1280" width="9" style="326"/>
    <col min="1281" max="1281" width="3.75" style="326" customWidth="1"/>
    <col min="1282" max="1536" width="9" style="326"/>
    <col min="1537" max="1537" width="3.75" style="326" customWidth="1"/>
    <col min="1538" max="1792" width="9" style="326"/>
    <col min="1793" max="1793" width="3.75" style="326" customWidth="1"/>
    <col min="1794" max="2048" width="9" style="326"/>
    <col min="2049" max="2049" width="3.75" style="326" customWidth="1"/>
    <col min="2050" max="2304" width="9" style="326"/>
    <col min="2305" max="2305" width="3.75" style="326" customWidth="1"/>
    <col min="2306" max="2560" width="9" style="326"/>
    <col min="2561" max="2561" width="3.75" style="326" customWidth="1"/>
    <col min="2562" max="2816" width="9" style="326"/>
    <col min="2817" max="2817" width="3.75" style="326" customWidth="1"/>
    <col min="2818" max="3072" width="9" style="326"/>
    <col min="3073" max="3073" width="3.75" style="326" customWidth="1"/>
    <col min="3074" max="3328" width="9" style="326"/>
    <col min="3329" max="3329" width="3.75" style="326" customWidth="1"/>
    <col min="3330" max="3584" width="9" style="326"/>
    <col min="3585" max="3585" width="3.75" style="326" customWidth="1"/>
    <col min="3586" max="3840" width="9" style="326"/>
    <col min="3841" max="3841" width="3.75" style="326" customWidth="1"/>
    <col min="3842" max="4096" width="9" style="326"/>
    <col min="4097" max="4097" width="3.75" style="326" customWidth="1"/>
    <col min="4098" max="4352" width="9" style="326"/>
    <col min="4353" max="4353" width="3.75" style="326" customWidth="1"/>
    <col min="4354" max="4608" width="9" style="326"/>
    <col min="4609" max="4609" width="3.75" style="326" customWidth="1"/>
    <col min="4610" max="4864" width="9" style="326"/>
    <col min="4865" max="4865" width="3.75" style="326" customWidth="1"/>
    <col min="4866" max="5120" width="9" style="326"/>
    <col min="5121" max="5121" width="3.75" style="326" customWidth="1"/>
    <col min="5122" max="5376" width="9" style="326"/>
    <col min="5377" max="5377" width="3.75" style="326" customWidth="1"/>
    <col min="5378" max="5632" width="9" style="326"/>
    <col min="5633" max="5633" width="3.75" style="326" customWidth="1"/>
    <col min="5634" max="5888" width="9" style="326"/>
    <col min="5889" max="5889" width="3.75" style="326" customWidth="1"/>
    <col min="5890" max="6144" width="9" style="326"/>
    <col min="6145" max="6145" width="3.75" style="326" customWidth="1"/>
    <col min="6146" max="6400" width="9" style="326"/>
    <col min="6401" max="6401" width="3.75" style="326" customWidth="1"/>
    <col min="6402" max="6656" width="9" style="326"/>
    <col min="6657" max="6657" width="3.75" style="326" customWidth="1"/>
    <col min="6658" max="6912" width="9" style="326"/>
    <col min="6913" max="6913" width="3.75" style="326" customWidth="1"/>
    <col min="6914" max="7168" width="9" style="326"/>
    <col min="7169" max="7169" width="3.75" style="326" customWidth="1"/>
    <col min="7170" max="7424" width="9" style="326"/>
    <col min="7425" max="7425" width="3.75" style="326" customWidth="1"/>
    <col min="7426" max="7680" width="9" style="326"/>
    <col min="7681" max="7681" width="3.75" style="326" customWidth="1"/>
    <col min="7682" max="7936" width="9" style="326"/>
    <col min="7937" max="7937" width="3.75" style="326" customWidth="1"/>
    <col min="7938" max="8192" width="9" style="326"/>
    <col min="8193" max="8193" width="3.75" style="326" customWidth="1"/>
    <col min="8194" max="8448" width="9" style="326"/>
    <col min="8449" max="8449" width="3.75" style="326" customWidth="1"/>
    <col min="8450" max="8704" width="9" style="326"/>
    <col min="8705" max="8705" width="3.75" style="326" customWidth="1"/>
    <col min="8706" max="8960" width="9" style="326"/>
    <col min="8961" max="8961" width="3.75" style="326" customWidth="1"/>
    <col min="8962" max="9216" width="9" style="326"/>
    <col min="9217" max="9217" width="3.75" style="326" customWidth="1"/>
    <col min="9218" max="9472" width="9" style="326"/>
    <col min="9473" max="9473" width="3.75" style="326" customWidth="1"/>
    <col min="9474" max="9728" width="9" style="326"/>
    <col min="9729" max="9729" width="3.75" style="326" customWidth="1"/>
    <col min="9730" max="9984" width="9" style="326"/>
    <col min="9985" max="9985" width="3.75" style="326" customWidth="1"/>
    <col min="9986" max="10240" width="9" style="326"/>
    <col min="10241" max="10241" width="3.75" style="326" customWidth="1"/>
    <col min="10242" max="10496" width="9" style="326"/>
    <col min="10497" max="10497" width="3.75" style="326" customWidth="1"/>
    <col min="10498" max="10752" width="9" style="326"/>
    <col min="10753" max="10753" width="3.75" style="326" customWidth="1"/>
    <col min="10754" max="11008" width="9" style="326"/>
    <col min="11009" max="11009" width="3.75" style="326" customWidth="1"/>
    <col min="11010" max="11264" width="9" style="326"/>
    <col min="11265" max="11265" width="3.75" style="326" customWidth="1"/>
    <col min="11266" max="11520" width="9" style="326"/>
    <col min="11521" max="11521" width="3.75" style="326" customWidth="1"/>
    <col min="11522" max="11776" width="9" style="326"/>
    <col min="11777" max="11777" width="3.75" style="326" customWidth="1"/>
    <col min="11778" max="12032" width="9" style="326"/>
    <col min="12033" max="12033" width="3.75" style="326" customWidth="1"/>
    <col min="12034" max="12288" width="9" style="326"/>
    <col min="12289" max="12289" width="3.75" style="326" customWidth="1"/>
    <col min="12290" max="12544" width="9" style="326"/>
    <col min="12545" max="12545" width="3.75" style="326" customWidth="1"/>
    <col min="12546" max="12800" width="9" style="326"/>
    <col min="12801" max="12801" width="3.75" style="326" customWidth="1"/>
    <col min="12802" max="13056" width="9" style="326"/>
    <col min="13057" max="13057" width="3.75" style="326" customWidth="1"/>
    <col min="13058" max="13312" width="9" style="326"/>
    <col min="13313" max="13313" width="3.75" style="326" customWidth="1"/>
    <col min="13314" max="13568" width="9" style="326"/>
    <col min="13569" max="13569" width="3.75" style="326" customWidth="1"/>
    <col min="13570" max="13824" width="9" style="326"/>
    <col min="13825" max="13825" width="3.75" style="326" customWidth="1"/>
    <col min="13826" max="14080" width="9" style="326"/>
    <col min="14081" max="14081" width="3.75" style="326" customWidth="1"/>
    <col min="14082" max="14336" width="9" style="326"/>
    <col min="14337" max="14337" width="3.75" style="326" customWidth="1"/>
    <col min="14338" max="14592" width="9" style="326"/>
    <col min="14593" max="14593" width="3.75" style="326" customWidth="1"/>
    <col min="14594" max="14848" width="9" style="326"/>
    <col min="14849" max="14849" width="3.75" style="326" customWidth="1"/>
    <col min="14850" max="15104" width="9" style="326"/>
    <col min="15105" max="15105" width="3.75" style="326" customWidth="1"/>
    <col min="15106" max="15360" width="9" style="326"/>
    <col min="15361" max="15361" width="3.75" style="326" customWidth="1"/>
    <col min="15362" max="15616" width="9" style="326"/>
    <col min="15617" max="15617" width="3.75" style="326" customWidth="1"/>
    <col min="15618" max="15872" width="9" style="326"/>
    <col min="15873" max="15873" width="3.75" style="326" customWidth="1"/>
    <col min="15874" max="16128" width="9" style="326"/>
    <col min="16129" max="16129" width="3.75" style="326" customWidth="1"/>
    <col min="16130" max="16384" width="9" style="326"/>
  </cols>
  <sheetData>
    <row r="2" spans="2:10" ht="19.5">
      <c r="B2" s="325" t="s">
        <v>260</v>
      </c>
      <c r="F2" s="1513"/>
      <c r="G2" s="1513"/>
      <c r="H2" s="1513"/>
    </row>
    <row r="4" spans="2:10">
      <c r="B4" s="1512" t="s">
        <v>261</v>
      </c>
      <c r="C4" s="1512" t="s">
        <v>262</v>
      </c>
      <c r="D4" s="1514" t="s">
        <v>263</v>
      </c>
      <c r="E4" s="1514" t="s">
        <v>264</v>
      </c>
      <c r="F4" s="1512" t="s">
        <v>265</v>
      </c>
      <c r="G4" s="1512"/>
      <c r="H4" s="1512" t="s">
        <v>266</v>
      </c>
      <c r="I4" s="1512" t="s">
        <v>267</v>
      </c>
      <c r="J4" s="347"/>
    </row>
    <row r="5" spans="2:10">
      <c r="B5" s="1512"/>
      <c r="C5" s="1512"/>
      <c r="D5" s="1515"/>
      <c r="E5" s="1515"/>
      <c r="F5" s="236" t="s">
        <v>268</v>
      </c>
      <c r="G5" s="347" t="s">
        <v>743</v>
      </c>
      <c r="H5" s="1512"/>
      <c r="I5" s="1512"/>
      <c r="J5" s="347" t="s">
        <v>269</v>
      </c>
    </row>
    <row r="6" spans="2:10" ht="20.100000000000001" customHeight="1">
      <c r="B6" s="327">
        <v>1</v>
      </c>
      <c r="C6" s="328">
        <v>45102</v>
      </c>
      <c r="D6" s="328">
        <v>45068</v>
      </c>
      <c r="E6" s="329" t="s">
        <v>270</v>
      </c>
      <c r="F6" s="349">
        <v>1096</v>
      </c>
      <c r="G6" s="350"/>
      <c r="H6" s="330" t="s">
        <v>272</v>
      </c>
      <c r="I6" s="330" t="s">
        <v>272</v>
      </c>
      <c r="J6" s="331" t="s">
        <v>744</v>
      </c>
    </row>
    <row r="7" spans="2:10" ht="20.100000000000001" customHeight="1">
      <c r="B7" s="327">
        <v>2</v>
      </c>
      <c r="C7" s="328">
        <v>45102</v>
      </c>
      <c r="D7" s="328">
        <v>45072</v>
      </c>
      <c r="E7" s="329" t="s">
        <v>271</v>
      </c>
      <c r="F7" s="351">
        <v>668</v>
      </c>
      <c r="G7" s="350"/>
      <c r="H7" s="330" t="s">
        <v>272</v>
      </c>
      <c r="I7" s="330" t="s">
        <v>272</v>
      </c>
      <c r="J7" s="331" t="s">
        <v>745</v>
      </c>
    </row>
    <row r="8" spans="2:10" ht="20.100000000000001" customHeight="1">
      <c r="B8" s="327">
        <v>3</v>
      </c>
      <c r="C8" s="328">
        <v>45102</v>
      </c>
      <c r="D8" s="328">
        <v>45075</v>
      </c>
      <c r="E8" s="329" t="s">
        <v>746</v>
      </c>
      <c r="F8" s="351">
        <v>589</v>
      </c>
      <c r="G8" s="350"/>
      <c r="H8" s="330" t="s">
        <v>747</v>
      </c>
      <c r="I8" s="330" t="s">
        <v>747</v>
      </c>
      <c r="J8" s="331" t="s">
        <v>748</v>
      </c>
    </row>
    <row r="9" spans="2:10" ht="20.100000000000001" customHeight="1">
      <c r="B9" s="327">
        <v>4</v>
      </c>
      <c r="C9" s="328">
        <v>45102</v>
      </c>
      <c r="D9" s="328">
        <v>45083</v>
      </c>
      <c r="E9" s="329" t="s">
        <v>271</v>
      </c>
      <c r="F9" s="349">
        <v>683</v>
      </c>
      <c r="G9" s="350"/>
      <c r="H9" s="330" t="s">
        <v>272</v>
      </c>
      <c r="I9" s="330" t="s">
        <v>272</v>
      </c>
      <c r="J9" s="331" t="s">
        <v>749</v>
      </c>
    </row>
    <row r="10" spans="2:10" ht="20.100000000000001" customHeight="1">
      <c r="B10" s="327">
        <v>5</v>
      </c>
      <c r="C10" s="328">
        <v>45102</v>
      </c>
      <c r="D10" s="332">
        <v>45084</v>
      </c>
      <c r="E10" s="329" t="s">
        <v>270</v>
      </c>
      <c r="F10" s="351">
        <v>275</v>
      </c>
      <c r="G10" s="350"/>
      <c r="H10" s="330" t="s">
        <v>750</v>
      </c>
      <c r="I10" s="330" t="s">
        <v>750</v>
      </c>
      <c r="J10" s="331" t="s">
        <v>751</v>
      </c>
    </row>
    <row r="11" spans="2:10" ht="20.100000000000001" customHeight="1">
      <c r="B11" s="327">
        <v>6</v>
      </c>
      <c r="C11" s="328">
        <v>45102</v>
      </c>
      <c r="D11" s="333">
        <v>45085</v>
      </c>
      <c r="E11" s="329" t="s">
        <v>270</v>
      </c>
      <c r="F11" s="351">
        <v>1458</v>
      </c>
      <c r="G11" s="350"/>
      <c r="H11" s="330" t="s">
        <v>752</v>
      </c>
      <c r="I11" s="330" t="s">
        <v>752</v>
      </c>
      <c r="J11" s="331" t="s">
        <v>753</v>
      </c>
    </row>
    <row r="12" spans="2:10" ht="20.100000000000001" customHeight="1">
      <c r="B12" s="327"/>
      <c r="C12" s="328">
        <v>45102</v>
      </c>
      <c r="D12" s="333">
        <v>45085</v>
      </c>
      <c r="E12" s="329" t="s">
        <v>270</v>
      </c>
      <c r="F12" s="351">
        <v>350</v>
      </c>
      <c r="G12" s="350"/>
      <c r="H12" s="330" t="s">
        <v>754</v>
      </c>
      <c r="I12" s="330" t="s">
        <v>754</v>
      </c>
      <c r="J12" s="331" t="s">
        <v>755</v>
      </c>
    </row>
    <row r="13" spans="2:10" ht="20.100000000000001" customHeight="1">
      <c r="B13" s="327">
        <v>7</v>
      </c>
      <c r="C13" s="328">
        <v>45102</v>
      </c>
      <c r="D13" s="333">
        <v>45085</v>
      </c>
      <c r="E13" s="329" t="s">
        <v>271</v>
      </c>
      <c r="F13" s="351">
        <v>721</v>
      </c>
      <c r="G13" s="350"/>
      <c r="H13" s="330" t="s">
        <v>272</v>
      </c>
      <c r="I13" s="330" t="s">
        <v>272</v>
      </c>
      <c r="J13" s="331" t="s">
        <v>756</v>
      </c>
    </row>
    <row r="14" spans="2:10">
      <c r="B14" s="327">
        <v>8</v>
      </c>
      <c r="C14" s="328">
        <v>45102</v>
      </c>
      <c r="D14" s="333">
        <v>45090</v>
      </c>
      <c r="E14" s="329" t="s">
        <v>271</v>
      </c>
      <c r="F14" s="351">
        <v>369</v>
      </c>
      <c r="G14" s="350"/>
      <c r="H14" s="330" t="s">
        <v>757</v>
      </c>
      <c r="I14" s="330" t="s">
        <v>757</v>
      </c>
      <c r="J14" s="331" t="s">
        <v>758</v>
      </c>
    </row>
    <row r="15" spans="2:10">
      <c r="B15" s="327">
        <v>9</v>
      </c>
      <c r="C15" s="328">
        <v>45102</v>
      </c>
      <c r="D15" s="333">
        <v>45090</v>
      </c>
      <c r="E15" s="329" t="s">
        <v>759</v>
      </c>
      <c r="F15" s="351">
        <v>181</v>
      </c>
      <c r="G15" s="350"/>
      <c r="H15" s="330" t="s">
        <v>760</v>
      </c>
      <c r="I15" s="330" t="s">
        <v>760</v>
      </c>
      <c r="J15" s="331" t="s">
        <v>761</v>
      </c>
    </row>
    <row r="16" spans="2:10">
      <c r="B16" s="327">
        <v>10</v>
      </c>
      <c r="C16" s="328">
        <v>45102</v>
      </c>
      <c r="D16" s="333">
        <v>45090</v>
      </c>
      <c r="E16" s="329" t="s">
        <v>271</v>
      </c>
      <c r="F16" s="351">
        <v>772</v>
      </c>
      <c r="G16" s="350"/>
      <c r="H16" s="330" t="s">
        <v>272</v>
      </c>
      <c r="I16" s="330" t="s">
        <v>272</v>
      </c>
      <c r="J16" s="331" t="s">
        <v>762</v>
      </c>
    </row>
    <row r="17" spans="2:10">
      <c r="B17" s="327">
        <v>11</v>
      </c>
      <c r="C17" s="328">
        <v>45102</v>
      </c>
      <c r="D17" s="333">
        <v>45091</v>
      </c>
      <c r="E17" s="329" t="s">
        <v>271</v>
      </c>
      <c r="F17" s="351">
        <v>453</v>
      </c>
      <c r="G17" s="350"/>
      <c r="H17" s="330" t="s">
        <v>272</v>
      </c>
      <c r="I17" s="330" t="s">
        <v>272</v>
      </c>
      <c r="J17" s="331" t="s">
        <v>763</v>
      </c>
    </row>
    <row r="18" spans="2:10">
      <c r="B18" s="327">
        <v>12</v>
      </c>
      <c r="C18" s="328">
        <v>45102</v>
      </c>
      <c r="D18" s="333">
        <v>45092</v>
      </c>
      <c r="E18" s="329" t="s">
        <v>271</v>
      </c>
      <c r="F18" s="351">
        <v>466</v>
      </c>
      <c r="G18" s="350"/>
      <c r="H18" s="330" t="s">
        <v>272</v>
      </c>
      <c r="I18" s="330" t="s">
        <v>272</v>
      </c>
      <c r="J18" s="331" t="s">
        <v>764</v>
      </c>
    </row>
    <row r="19" spans="2:10">
      <c r="B19" s="327">
        <v>13</v>
      </c>
      <c r="C19" s="328">
        <v>45102</v>
      </c>
      <c r="D19" s="333">
        <v>45093</v>
      </c>
      <c r="E19" s="329" t="s">
        <v>759</v>
      </c>
      <c r="F19" s="351">
        <v>109</v>
      </c>
      <c r="G19" s="350"/>
      <c r="H19" s="330" t="s">
        <v>765</v>
      </c>
      <c r="I19" s="330" t="s">
        <v>765</v>
      </c>
      <c r="J19" s="331" t="s">
        <v>722</v>
      </c>
    </row>
    <row r="20" spans="2:10">
      <c r="B20" s="327">
        <v>14</v>
      </c>
      <c r="C20" s="328">
        <v>45102</v>
      </c>
      <c r="D20" s="333">
        <v>45093</v>
      </c>
      <c r="E20" s="329" t="s">
        <v>271</v>
      </c>
      <c r="F20" s="351">
        <v>417</v>
      </c>
      <c r="G20" s="350"/>
      <c r="H20" s="330" t="s">
        <v>272</v>
      </c>
      <c r="I20" s="330" t="s">
        <v>272</v>
      </c>
      <c r="J20" s="331" t="s">
        <v>766</v>
      </c>
    </row>
    <row r="21" spans="2:10">
      <c r="B21" s="327">
        <v>15</v>
      </c>
      <c r="C21" s="328">
        <v>45102</v>
      </c>
      <c r="D21" s="333">
        <v>45095</v>
      </c>
      <c r="E21" s="329" t="s">
        <v>767</v>
      </c>
      <c r="F21" s="351">
        <v>684</v>
      </c>
      <c r="G21" s="350"/>
      <c r="H21" s="330" t="s">
        <v>768</v>
      </c>
      <c r="I21" s="330" t="s">
        <v>768</v>
      </c>
      <c r="J21" s="331" t="s">
        <v>769</v>
      </c>
    </row>
    <row r="22" spans="2:10">
      <c r="B22" s="327">
        <v>16</v>
      </c>
      <c r="C22" s="328">
        <v>45102</v>
      </c>
      <c r="D22" s="333">
        <v>45097</v>
      </c>
      <c r="E22" s="329" t="s">
        <v>767</v>
      </c>
      <c r="F22" s="351">
        <v>412</v>
      </c>
      <c r="G22" s="350"/>
      <c r="H22" s="330" t="s">
        <v>768</v>
      </c>
      <c r="I22" s="330" t="s">
        <v>768</v>
      </c>
      <c r="J22" s="331" t="s">
        <v>770</v>
      </c>
    </row>
    <row r="23" spans="2:10">
      <c r="B23" s="327">
        <v>17</v>
      </c>
      <c r="C23" s="328">
        <v>45102</v>
      </c>
      <c r="D23" s="333">
        <v>45101</v>
      </c>
      <c r="E23" s="329" t="s">
        <v>771</v>
      </c>
      <c r="F23" s="351">
        <v>299.7</v>
      </c>
      <c r="G23" s="350"/>
      <c r="H23" s="330" t="s">
        <v>768</v>
      </c>
      <c r="I23" s="330" t="s">
        <v>768</v>
      </c>
      <c r="J23" s="331" t="s">
        <v>772</v>
      </c>
    </row>
    <row r="24" spans="2:10">
      <c r="B24" s="327">
        <v>18</v>
      </c>
      <c r="C24" s="328">
        <v>45102</v>
      </c>
      <c r="D24" s="333">
        <v>45101</v>
      </c>
      <c r="E24" s="329" t="s">
        <v>771</v>
      </c>
      <c r="F24" s="351">
        <v>416.4</v>
      </c>
      <c r="G24" s="350"/>
      <c r="H24" s="330" t="s">
        <v>768</v>
      </c>
      <c r="I24" s="330" t="s">
        <v>768</v>
      </c>
      <c r="J24" s="331" t="s">
        <v>772</v>
      </c>
    </row>
    <row r="25" spans="2:10">
      <c r="B25" s="327">
        <v>19</v>
      </c>
      <c r="C25" s="328">
        <v>45102</v>
      </c>
      <c r="D25" s="333">
        <v>45101</v>
      </c>
      <c r="E25" s="329" t="s">
        <v>773</v>
      </c>
      <c r="F25" s="351">
        <v>298</v>
      </c>
      <c r="G25" s="350"/>
      <c r="H25" s="330" t="s">
        <v>768</v>
      </c>
      <c r="I25" s="330" t="s">
        <v>768</v>
      </c>
      <c r="J25" s="331" t="s">
        <v>774</v>
      </c>
    </row>
    <row r="26" spans="2:10">
      <c r="B26" s="327">
        <v>20</v>
      </c>
      <c r="C26" s="328">
        <v>45102</v>
      </c>
      <c r="D26" s="333">
        <v>45079</v>
      </c>
      <c r="E26" s="329" t="s">
        <v>775</v>
      </c>
      <c r="F26" s="351">
        <v>917.6</v>
      </c>
      <c r="G26" s="350"/>
      <c r="H26" s="330" t="s">
        <v>272</v>
      </c>
      <c r="I26" s="330" t="s">
        <v>272</v>
      </c>
      <c r="J26" s="331" t="s">
        <v>776</v>
      </c>
    </row>
    <row r="27" spans="2:10">
      <c r="B27" s="327">
        <v>21</v>
      </c>
      <c r="C27" s="328">
        <v>45102</v>
      </c>
      <c r="D27" s="333">
        <v>45085</v>
      </c>
      <c r="E27" s="329" t="s">
        <v>271</v>
      </c>
      <c r="F27" s="351">
        <v>7200</v>
      </c>
      <c r="G27" s="350"/>
      <c r="H27" s="330" t="s">
        <v>752</v>
      </c>
      <c r="I27" s="330" t="s">
        <v>752</v>
      </c>
      <c r="J27" s="331" t="s">
        <v>777</v>
      </c>
    </row>
    <row r="28" spans="2:10">
      <c r="B28" s="327">
        <v>22</v>
      </c>
      <c r="C28" s="328">
        <v>45102</v>
      </c>
      <c r="D28" s="333">
        <v>45091</v>
      </c>
      <c r="E28" s="329" t="s">
        <v>778</v>
      </c>
      <c r="F28" s="351">
        <v>1250</v>
      </c>
      <c r="G28" s="350"/>
      <c r="H28" s="330" t="s">
        <v>272</v>
      </c>
      <c r="I28" s="330" t="s">
        <v>272</v>
      </c>
      <c r="J28" s="331" t="s">
        <v>779</v>
      </c>
    </row>
    <row r="29" spans="2:10">
      <c r="F29" s="235">
        <f>SUM(F6:F28)</f>
        <v>20084.7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O159"/>
  <sheetViews>
    <sheetView showGridLines="0" zoomScaleNormal="100" workbookViewId="0">
      <selection activeCell="C38" sqref="C38"/>
    </sheetView>
  </sheetViews>
  <sheetFormatPr defaultRowHeight="16.5"/>
  <cols>
    <col min="1" max="2" width="11.8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  <col min="15" max="16" width="9.625" bestFit="1" customWidth="1"/>
  </cols>
  <sheetData>
    <row r="1" spans="1:15" ht="24">
      <c r="A1" s="1" t="s">
        <v>793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25">
      <c r="A2" s="130" t="s">
        <v>694</v>
      </c>
      <c r="B2" s="2"/>
      <c r="C2" s="2"/>
      <c r="E2" s="4">
        <v>100000208</v>
      </c>
      <c r="F2" s="346"/>
      <c r="G2" s="130" t="s">
        <v>791</v>
      </c>
      <c r="H2" s="2"/>
      <c r="I2" s="2"/>
      <c r="K2" s="4">
        <v>100000210</v>
      </c>
      <c r="L2" s="372"/>
    </row>
    <row r="3" spans="1:15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19"/>
      <c r="N3" s="119"/>
      <c r="O3" s="119"/>
    </row>
    <row r="4" spans="1:15" s="5" customFormat="1" ht="13.5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  <c r="M4" s="119"/>
      <c r="N4" s="119"/>
      <c r="O4" s="119"/>
    </row>
    <row r="5" spans="1:15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20078.45</v>
      </c>
      <c r="J5" s="116">
        <v>2816.5739755562963</v>
      </c>
      <c r="K5" s="117">
        <v>3662949</v>
      </c>
      <c r="L5" s="348">
        <f>K5/I5</f>
        <v>182.43186102512894</v>
      </c>
      <c r="M5" s="366">
        <v>2182032</v>
      </c>
      <c r="N5" s="248">
        <f t="shared" ref="N5:N10" si="0">M5-L5</f>
        <v>2181849.5681389747</v>
      </c>
      <c r="O5" s="119"/>
    </row>
    <row r="6" spans="1:15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33959.760000000002</v>
      </c>
      <c r="J6" s="116">
        <v>4763.8227169994543</v>
      </c>
      <c r="K6" s="117">
        <v>6195348</v>
      </c>
      <c r="L6" s="248">
        <f t="shared" ref="L6:L11" si="1">K6+E6</f>
        <v>6195348</v>
      </c>
      <c r="M6" s="367">
        <v>41016482</v>
      </c>
      <c r="N6" s="248">
        <f t="shared" si="0"/>
        <v>34821134</v>
      </c>
      <c r="O6" s="119"/>
    </row>
    <row r="7" spans="1:15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2808.7955351415931</v>
      </c>
      <c r="K7" s="117">
        <v>3652844</v>
      </c>
      <c r="L7" s="248">
        <f t="shared" si="1"/>
        <v>3652844</v>
      </c>
      <c r="M7" s="367">
        <v>4869534</v>
      </c>
      <c r="N7" s="248">
        <f t="shared" si="0"/>
        <v>1216690</v>
      </c>
      <c r="O7" s="119"/>
    </row>
    <row r="8" spans="1:15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1472.92</v>
      </c>
      <c r="K8" s="117">
        <v>1915532</v>
      </c>
      <c r="L8" s="248">
        <f t="shared" si="1"/>
        <v>1915532</v>
      </c>
      <c r="M8" s="367">
        <v>2830112</v>
      </c>
      <c r="N8" s="248">
        <f t="shared" si="0"/>
        <v>914580</v>
      </c>
      <c r="O8" s="119"/>
    </row>
    <row r="9" spans="1:15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1028.78</v>
      </c>
      <c r="J9" s="116">
        <v>144.31567051106069</v>
      </c>
      <c r="K9" s="117">
        <v>187688</v>
      </c>
      <c r="L9" s="248">
        <f t="shared" si="1"/>
        <v>187688</v>
      </c>
      <c r="M9" s="367">
        <v>1381768</v>
      </c>
      <c r="N9" s="248">
        <f t="shared" si="0"/>
        <v>1194080</v>
      </c>
      <c r="O9" s="119"/>
    </row>
    <row r="10" spans="1:15" s="5" customFormat="1" ht="13.5">
      <c r="A10" s="114" t="s">
        <v>62</v>
      </c>
      <c r="B10" s="115"/>
      <c r="C10" s="116">
        <f>SUM(I22:I30)</f>
        <v>79392.911453999986</v>
      </c>
      <c r="D10" s="116">
        <f>SUM(J22:J30)</f>
        <v>11554.11</v>
      </c>
      <c r="E10" s="117">
        <v>15238716</v>
      </c>
      <c r="F10" s="121">
        <v>51321010</v>
      </c>
      <c r="G10" s="114" t="s">
        <v>62</v>
      </c>
      <c r="H10" s="115"/>
      <c r="I10" s="116">
        <v>88057.93</v>
      </c>
      <c r="J10" s="116">
        <v>12373.79</v>
      </c>
      <c r="K10" s="117">
        <v>16092114</v>
      </c>
      <c r="L10" s="248">
        <f t="shared" si="1"/>
        <v>31330830</v>
      </c>
      <c r="M10" s="367">
        <v>68260263</v>
      </c>
      <c r="N10" s="248">
        <f t="shared" si="0"/>
        <v>36929433</v>
      </c>
      <c r="O10" s="119"/>
    </row>
    <row r="11" spans="1:15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367"/>
      <c r="N11" s="119"/>
      <c r="O11" s="119"/>
    </row>
    <row r="12" spans="1:15" s="5" customFormat="1" ht="13.5">
      <c r="A12" s="1493" t="s">
        <v>299</v>
      </c>
      <c r="B12" s="1494"/>
      <c r="C12" s="124">
        <f>SUM(C4:C11)</f>
        <v>79392.911453999986</v>
      </c>
      <c r="D12" s="124">
        <f>SUM(D4:D11)</f>
        <v>11554.11</v>
      </c>
      <c r="E12" s="125">
        <f>SUM(E4:E11)</f>
        <v>15238716</v>
      </c>
      <c r="F12" s="121">
        <v>52981010</v>
      </c>
      <c r="G12" s="1493" t="s">
        <v>299</v>
      </c>
      <c r="H12" s="1494"/>
      <c r="I12" s="124">
        <f>SUM(I4:I11)</f>
        <v>173647.91999999998</v>
      </c>
      <c r="J12" s="124">
        <f>SUM(J4:J11)</f>
        <v>24380.217898208408</v>
      </c>
      <c r="K12" s="125">
        <f>SUM(K4:K11)</f>
        <v>31706475</v>
      </c>
      <c r="L12" s="119"/>
      <c r="M12" s="119"/>
      <c r="N12" s="119"/>
      <c r="O12" s="119"/>
    </row>
    <row r="13" spans="1:15" s="5" customFormat="1" ht="13.5">
      <c r="A13" s="126"/>
      <c r="B13" s="315"/>
      <c r="C13" s="316">
        <f>C12+I12</f>
        <v>253040.83145399997</v>
      </c>
      <c r="D13" s="316">
        <f>D12+J12</f>
        <v>35934.327898208408</v>
      </c>
      <c r="E13" s="317">
        <f>E12+K12</f>
        <v>46945191</v>
      </c>
      <c r="F13" s="323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.5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M14" s="253">
        <f>N88</f>
        <v>23585.137516746905</v>
      </c>
      <c r="N14" s="253"/>
      <c r="O14" s="119"/>
    </row>
    <row r="15" spans="1:15" s="5" customFormat="1" ht="13.5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5" s="5" customFormat="1" ht="13.5">
      <c r="B16" s="134">
        <v>13081010</v>
      </c>
      <c r="C16" s="135"/>
      <c r="D16" s="135"/>
      <c r="G16" s="6"/>
      <c r="H16" s="137"/>
      <c r="I16" s="137">
        <f>SUBTOTAL(9,I19:I168)</f>
        <v>253040.8271820001</v>
      </c>
      <c r="J16" s="137">
        <f>SUBTOTAL(9,J19:J166)</f>
        <v>35934.332483253122</v>
      </c>
      <c r="K16" s="132"/>
      <c r="L16" s="45"/>
    </row>
    <row r="17" spans="1:15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5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5" s="5" customFormat="1" ht="13.5" customHeight="1">
      <c r="A19" s="237">
        <v>45077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79392.478670474156</v>
      </c>
      <c r="L19" s="241">
        <v>11554.106379101293</v>
      </c>
      <c r="M19" s="240"/>
      <c r="N19" s="45">
        <v>11554.11</v>
      </c>
    </row>
    <row r="20" spans="1:15" s="5" customFormat="1" ht="13.5" customHeight="1">
      <c r="A20" s="360">
        <v>45089</v>
      </c>
      <c r="B20" s="256" t="s">
        <v>643</v>
      </c>
      <c r="C20" s="353"/>
      <c r="D20" s="310">
        <v>1</v>
      </c>
      <c r="E20" s="48"/>
      <c r="F20" s="301"/>
      <c r="G20" s="361">
        <v>341557.08</v>
      </c>
      <c r="H20" s="303">
        <v>47933.1</v>
      </c>
      <c r="I20" s="302"/>
      <c r="J20" s="361">
        <f>I20/'통장내역(환율표)'!$D$92</f>
        <v>0</v>
      </c>
      <c r="K20" s="303">
        <f t="shared" ref="K20:K29" si="2">K19+G20-I20</f>
        <v>420949.55867047416</v>
      </c>
      <c r="L20" s="303">
        <f t="shared" ref="L20:L29" si="3">L19+H20-J20</f>
        <v>59487.206379101292</v>
      </c>
      <c r="M20" s="362"/>
      <c r="N20" s="45"/>
    </row>
    <row r="21" spans="1:15" s="5" customFormat="1" ht="13.5" customHeight="1">
      <c r="A21" s="360">
        <v>45089</v>
      </c>
      <c r="B21" s="256" t="s">
        <v>250</v>
      </c>
      <c r="C21" s="353"/>
      <c r="D21" s="310">
        <v>1</v>
      </c>
      <c r="E21" s="48" t="s">
        <v>107</v>
      </c>
      <c r="F21" s="301"/>
      <c r="G21" s="361"/>
      <c r="H21" s="303"/>
      <c r="I21" s="302"/>
      <c r="J21" s="359">
        <v>20</v>
      </c>
      <c r="K21" s="303">
        <f t="shared" si="2"/>
        <v>420949.55867047416</v>
      </c>
      <c r="L21" s="303">
        <f t="shared" si="3"/>
        <v>59467.206379101292</v>
      </c>
      <c r="M21" s="362"/>
      <c r="N21" s="45"/>
      <c r="O21" s="119"/>
    </row>
    <row r="22" spans="1:15" s="5" customFormat="1" ht="13.5" customHeight="1">
      <c r="A22" s="352">
        <v>45089</v>
      </c>
      <c r="B22" s="356" t="s">
        <v>788</v>
      </c>
      <c r="C22" s="357"/>
      <c r="D22" s="290">
        <v>2</v>
      </c>
      <c r="E22" s="37" t="s">
        <v>107</v>
      </c>
      <c r="F22" s="355"/>
      <c r="G22" s="271"/>
      <c r="H22" s="271"/>
      <c r="I22" s="275">
        <v>21715.98</v>
      </c>
      <c r="J22" s="354">
        <f>I22/'통장내역(환율표)'!$D$92</f>
        <v>3160.3428704485259</v>
      </c>
      <c r="K22" s="271">
        <f t="shared" si="2"/>
        <v>399233.57867047418</v>
      </c>
      <c r="L22" s="271">
        <f t="shared" si="3"/>
        <v>56306.863508652765</v>
      </c>
      <c r="M22" s="355"/>
      <c r="N22" s="45">
        <f>N19-J22+H22</f>
        <v>8393.7671295514738</v>
      </c>
      <c r="O22" s="253"/>
    </row>
    <row r="23" spans="1:15" s="5" customFormat="1" ht="13.5" customHeight="1">
      <c r="A23" s="352">
        <v>45098</v>
      </c>
      <c r="B23" s="321" t="s">
        <v>731</v>
      </c>
      <c r="C23" s="357"/>
      <c r="D23" s="290">
        <v>3</v>
      </c>
      <c r="E23" s="36" t="s">
        <v>60</v>
      </c>
      <c r="F23" s="355"/>
      <c r="G23" s="271">
        <v>221.66</v>
      </c>
      <c r="H23" s="271">
        <v>32.26</v>
      </c>
      <c r="I23" s="275"/>
      <c r="J23" s="354">
        <f>I23/'통장내역(환율표)'!$D$92</f>
        <v>0</v>
      </c>
      <c r="K23" s="271">
        <f t="shared" si="2"/>
        <v>399455.23867047415</v>
      </c>
      <c r="L23" s="271">
        <f t="shared" si="3"/>
        <v>56339.123508652767</v>
      </c>
      <c r="M23" s="355"/>
      <c r="N23" s="45">
        <f t="shared" ref="N23:N29" si="4">N22-J23+H23</f>
        <v>8426.027129551474</v>
      </c>
      <c r="O23" s="119"/>
    </row>
    <row r="24" spans="1:15" s="5" customFormat="1" ht="13.5" customHeight="1">
      <c r="A24" s="352">
        <v>45098</v>
      </c>
      <c r="B24" s="321" t="s">
        <v>131</v>
      </c>
      <c r="C24" s="357"/>
      <c r="D24" s="290">
        <v>4</v>
      </c>
      <c r="E24" s="37" t="s">
        <v>107</v>
      </c>
      <c r="F24" s="355"/>
      <c r="G24" s="271"/>
      <c r="H24" s="271"/>
      <c r="I24" s="275">
        <v>9048.81</v>
      </c>
      <c r="J24" s="354">
        <f>I24/'통장내역(환율표)'!$D$92</f>
        <v>1316.8801117676164</v>
      </c>
      <c r="K24" s="271">
        <f t="shared" si="2"/>
        <v>390406.42867047415</v>
      </c>
      <c r="L24" s="271">
        <f t="shared" si="3"/>
        <v>55022.243396885147</v>
      </c>
      <c r="M24" s="355" t="s">
        <v>188</v>
      </c>
      <c r="N24" s="45">
        <f t="shared" si="4"/>
        <v>7109.1470177838573</v>
      </c>
      <c r="O24" s="119"/>
    </row>
    <row r="25" spans="1:15" s="5" customFormat="1" ht="13.5" customHeight="1">
      <c r="A25" s="352">
        <v>45098</v>
      </c>
      <c r="B25" s="321" t="s">
        <v>133</v>
      </c>
      <c r="C25" s="357"/>
      <c r="D25" s="290">
        <v>4</v>
      </c>
      <c r="E25" s="37" t="s">
        <v>107</v>
      </c>
      <c r="F25" s="355"/>
      <c r="G25" s="271"/>
      <c r="H25" s="271"/>
      <c r="I25" s="275">
        <v>4776.0400000000009</v>
      </c>
      <c r="J25" s="354">
        <f>I25/'통장내역(환율표)'!$D$92</f>
        <v>695.06068632302026</v>
      </c>
      <c r="K25" s="271">
        <f t="shared" si="2"/>
        <v>385630.38867047417</v>
      </c>
      <c r="L25" s="271">
        <f t="shared" si="3"/>
        <v>54327.182710562127</v>
      </c>
      <c r="M25" s="355" t="s">
        <v>188</v>
      </c>
      <c r="N25" s="45">
        <f t="shared" si="4"/>
        <v>6414.0863314608368</v>
      </c>
    </row>
    <row r="26" spans="1:15" s="5" customFormat="1" ht="13.5" customHeight="1">
      <c r="A26" s="352">
        <v>45098</v>
      </c>
      <c r="B26" s="321" t="s">
        <v>456</v>
      </c>
      <c r="C26" s="357"/>
      <c r="D26" s="290">
        <v>4</v>
      </c>
      <c r="E26" s="37" t="s">
        <v>107</v>
      </c>
      <c r="F26" s="355"/>
      <c r="G26" s="271"/>
      <c r="H26" s="271"/>
      <c r="I26" s="275">
        <v>15000</v>
      </c>
      <c r="J26" s="354">
        <f>I26/'통장내역(환율표)'!$D$92</f>
        <v>2182.9612597141777</v>
      </c>
      <c r="K26" s="271">
        <f t="shared" si="2"/>
        <v>370630.38867047417</v>
      </c>
      <c r="L26" s="271">
        <f t="shared" si="3"/>
        <v>52144.221450847952</v>
      </c>
      <c r="M26" s="355" t="s">
        <v>188</v>
      </c>
      <c r="N26" s="45">
        <f t="shared" si="4"/>
        <v>4231.1250717466592</v>
      </c>
    </row>
    <row r="27" spans="1:15" s="5" customFormat="1" ht="13.5" customHeight="1">
      <c r="A27" s="352">
        <v>45098</v>
      </c>
      <c r="B27" s="321" t="s">
        <v>457</v>
      </c>
      <c r="C27" s="357"/>
      <c r="D27" s="290">
        <v>4</v>
      </c>
      <c r="E27" s="37" t="s">
        <v>107</v>
      </c>
      <c r="F27" s="355"/>
      <c r="G27" s="271"/>
      <c r="H27" s="271"/>
      <c r="I27" s="275">
        <v>22000</v>
      </c>
      <c r="J27" s="354">
        <f>I27/'통장내역(환율표)'!$D$92</f>
        <v>3201.6765142474605</v>
      </c>
      <c r="K27" s="271">
        <f t="shared" si="2"/>
        <v>348630.38867047417</v>
      </c>
      <c r="L27" s="271">
        <f t="shared" si="3"/>
        <v>48942.54493660049</v>
      </c>
      <c r="M27" s="355" t="s">
        <v>188</v>
      </c>
      <c r="N27" s="45">
        <f t="shared" si="4"/>
        <v>1029.4485574991986</v>
      </c>
    </row>
    <row r="28" spans="1:15" s="5" customFormat="1" ht="13.5" customHeight="1">
      <c r="A28" s="352">
        <v>45098</v>
      </c>
      <c r="B28" s="321" t="s">
        <v>130</v>
      </c>
      <c r="C28" s="357"/>
      <c r="D28" s="290">
        <v>4</v>
      </c>
      <c r="E28" s="37" t="s">
        <v>107</v>
      </c>
      <c r="F28" s="355"/>
      <c r="G28" s="271"/>
      <c r="H28" s="271"/>
      <c r="I28" s="275">
        <v>300</v>
      </c>
      <c r="J28" s="354">
        <f>I28/'통장내역(환율표)'!$D$92</f>
        <v>43.659225194283557</v>
      </c>
      <c r="K28" s="271">
        <f t="shared" si="2"/>
        <v>348330.38867047417</v>
      </c>
      <c r="L28" s="271">
        <f t="shared" si="3"/>
        <v>48898.885711406205</v>
      </c>
      <c r="M28" s="355" t="s">
        <v>188</v>
      </c>
      <c r="N28" s="45">
        <f t="shared" si="4"/>
        <v>985.78933230491509</v>
      </c>
    </row>
    <row r="29" spans="1:15" s="5" customFormat="1" ht="13.5" customHeight="1">
      <c r="A29" s="352">
        <v>45098</v>
      </c>
      <c r="B29" s="321" t="s">
        <v>131</v>
      </c>
      <c r="C29" s="357"/>
      <c r="D29" s="290">
        <v>4</v>
      </c>
      <c r="E29" s="37" t="s">
        <v>107</v>
      </c>
      <c r="F29" s="355"/>
      <c r="G29" s="271"/>
      <c r="H29" s="271"/>
      <c r="I29" s="275">
        <v>5628.8099999999995</v>
      </c>
      <c r="J29" s="354">
        <f>I29/'통장내역(환율표)'!$D$92</f>
        <v>819.16494455278394</v>
      </c>
      <c r="K29" s="271">
        <f t="shared" si="2"/>
        <v>342701.57867047418</v>
      </c>
      <c r="L29" s="271">
        <f t="shared" si="3"/>
        <v>48079.720766853417</v>
      </c>
      <c r="M29" s="355" t="s">
        <v>211</v>
      </c>
      <c r="N29" s="45">
        <f t="shared" si="4"/>
        <v>166.62438775213116</v>
      </c>
    </row>
    <row r="30" spans="1:15" s="5" customFormat="1" ht="13.5" customHeight="1">
      <c r="A30" s="352">
        <v>45098</v>
      </c>
      <c r="B30" s="321" t="s">
        <v>785</v>
      </c>
      <c r="C30" s="357"/>
      <c r="D30" s="290">
        <v>4</v>
      </c>
      <c r="E30" s="37" t="s">
        <v>107</v>
      </c>
      <c r="F30" s="355"/>
      <c r="G30" s="271"/>
      <c r="H30" s="271"/>
      <c r="I30" s="275">
        <f>J30*'통장내역(환율표)'!$D$92</f>
        <v>923.27145399999301</v>
      </c>
      <c r="J30" s="354">
        <f>166.624387752131-32.26</f>
        <v>134.36438775213102</v>
      </c>
      <c r="K30" s="271">
        <f t="shared" ref="K30:L35" si="5">K29+G30-I30</f>
        <v>341778.3072164742</v>
      </c>
      <c r="L30" s="271">
        <f t="shared" si="5"/>
        <v>47945.356379101286</v>
      </c>
      <c r="M30" s="355" t="s">
        <v>211</v>
      </c>
      <c r="N30" s="45">
        <f>N29-J30+H30</f>
        <v>32.260000000000133</v>
      </c>
    </row>
    <row r="31" spans="1:15" s="7" customFormat="1" ht="13.5" customHeight="1">
      <c r="A31" s="352">
        <v>45098</v>
      </c>
      <c r="B31" s="321" t="s">
        <v>794</v>
      </c>
      <c r="C31" s="357"/>
      <c r="D31" s="290">
        <v>4</v>
      </c>
      <c r="E31" s="37" t="s">
        <v>107</v>
      </c>
      <c r="F31" s="369"/>
      <c r="G31" s="370"/>
      <c r="H31" s="370"/>
      <c r="I31" s="371">
        <f>1144.94-I30</f>
        <v>221.66854600000704</v>
      </c>
      <c r="J31" s="368">
        <v>32.26</v>
      </c>
      <c r="K31" s="271">
        <f t="shared" si="5"/>
        <v>341556.63867047417</v>
      </c>
      <c r="L31" s="271">
        <f t="shared" si="5"/>
        <v>47913.096379101284</v>
      </c>
      <c r="M31" s="355" t="s">
        <v>211</v>
      </c>
      <c r="N31" s="132"/>
    </row>
    <row r="32" spans="1:15" s="5" customFormat="1" ht="13.5" customHeight="1">
      <c r="A32" s="352">
        <v>45098</v>
      </c>
      <c r="B32" s="321" t="s">
        <v>786</v>
      </c>
      <c r="C32" s="357"/>
      <c r="D32" s="290">
        <v>4</v>
      </c>
      <c r="E32" s="37" t="s">
        <v>107</v>
      </c>
      <c r="F32" s="355"/>
      <c r="G32" s="271"/>
      <c r="H32" s="271"/>
      <c r="I32" s="275">
        <v>3565.0971820000059</v>
      </c>
      <c r="J32" s="359">
        <f>I32/'통장내역(환율표)'!$D$103</f>
        <v>500.10633007778512</v>
      </c>
      <c r="K32" s="271">
        <f t="shared" si="5"/>
        <v>337991.54148847418</v>
      </c>
      <c r="L32" s="271">
        <f t="shared" si="5"/>
        <v>47412.990049023501</v>
      </c>
      <c r="M32" s="355" t="s">
        <v>211</v>
      </c>
      <c r="N32" s="45">
        <f>47913.1-J32</f>
        <v>47412.993669922216</v>
      </c>
    </row>
    <row r="33" spans="1:14" s="5" customFormat="1" ht="13.5" customHeight="1">
      <c r="A33" s="352">
        <v>45098</v>
      </c>
      <c r="B33" s="321" t="s">
        <v>456</v>
      </c>
      <c r="C33" s="357"/>
      <c r="D33" s="290">
        <v>4</v>
      </c>
      <c r="E33" s="37" t="s">
        <v>107</v>
      </c>
      <c r="F33" s="355"/>
      <c r="G33" s="271"/>
      <c r="H33" s="271"/>
      <c r="I33" s="275">
        <v>15000</v>
      </c>
      <c r="J33" s="359">
        <f>I33/'통장내역(환율표)'!$D$103</f>
        <v>2104.1768479810166</v>
      </c>
      <c r="K33" s="271">
        <f t="shared" si="5"/>
        <v>322991.54148847418</v>
      </c>
      <c r="L33" s="271">
        <f t="shared" si="5"/>
        <v>45308.813201042482</v>
      </c>
      <c r="M33" s="355" t="s">
        <v>211</v>
      </c>
      <c r="N33" s="45">
        <f t="shared" ref="N33:N88" si="6">N32-J33+H33</f>
        <v>45308.816821941196</v>
      </c>
    </row>
    <row r="34" spans="1:14" s="5" customFormat="1" ht="13.5" customHeight="1">
      <c r="A34" s="352">
        <v>45098</v>
      </c>
      <c r="B34" s="321" t="s">
        <v>457</v>
      </c>
      <c r="C34" s="357"/>
      <c r="D34" s="290">
        <v>4</v>
      </c>
      <c r="E34" s="37" t="s">
        <v>107</v>
      </c>
      <c r="F34" s="355"/>
      <c r="G34" s="271"/>
      <c r="H34" s="271"/>
      <c r="I34" s="275">
        <v>22000</v>
      </c>
      <c r="J34" s="359">
        <f>I34/'통장내역(환율표)'!$D$103</f>
        <v>3086.1260437054912</v>
      </c>
      <c r="K34" s="271">
        <f t="shared" si="5"/>
        <v>300991.54148847418</v>
      </c>
      <c r="L34" s="271">
        <f t="shared" si="5"/>
        <v>42222.687157336994</v>
      </c>
      <c r="M34" s="355" t="s">
        <v>211</v>
      </c>
      <c r="N34" s="45">
        <f t="shared" si="6"/>
        <v>42222.690778235708</v>
      </c>
    </row>
    <row r="35" spans="1:14" s="5" customFormat="1" ht="13.5" customHeight="1">
      <c r="A35" s="352">
        <v>45098</v>
      </c>
      <c r="B35" s="321" t="s">
        <v>130</v>
      </c>
      <c r="C35" s="357"/>
      <c r="D35" s="290">
        <v>4</v>
      </c>
      <c r="E35" s="37" t="s">
        <v>107</v>
      </c>
      <c r="F35" s="355"/>
      <c r="G35" s="271"/>
      <c r="H35" s="271"/>
      <c r="I35" s="275">
        <v>300</v>
      </c>
      <c r="J35" s="359">
        <f>I35/'통장내역(환율표)'!$D$103</f>
        <v>42.083536959620332</v>
      </c>
      <c r="K35" s="271">
        <f t="shared" si="5"/>
        <v>300691.54148847418</v>
      </c>
      <c r="L35" s="271">
        <f t="shared" si="5"/>
        <v>42180.603620377377</v>
      </c>
      <c r="M35" s="355" t="s">
        <v>211</v>
      </c>
      <c r="N35" s="45">
        <f t="shared" si="6"/>
        <v>42180.607241276091</v>
      </c>
    </row>
    <row r="36" spans="1:14" s="5" customFormat="1" ht="13.5" customHeight="1">
      <c r="A36" s="352">
        <v>45098</v>
      </c>
      <c r="B36" s="321" t="s">
        <v>878</v>
      </c>
      <c r="C36" s="357"/>
      <c r="D36" s="290">
        <v>4</v>
      </c>
      <c r="E36" s="37" t="s">
        <v>107</v>
      </c>
      <c r="F36" s="355"/>
      <c r="G36" s="271"/>
      <c r="H36" s="271"/>
      <c r="I36" s="275">
        <v>5054.3900000000003</v>
      </c>
      <c r="J36" s="359">
        <f>I36/'통장내역(환율표)'!$D$103</f>
        <v>709.02202791111813</v>
      </c>
      <c r="K36" s="271">
        <f t="shared" ref="K36:K88" si="7">K35+G36-I36</f>
        <v>295637.15148847416</v>
      </c>
      <c r="L36" s="271">
        <f t="shared" ref="L36:L88" si="8">L35+H36-J36</f>
        <v>41471.58159246626</v>
      </c>
      <c r="M36" s="355" t="s">
        <v>453</v>
      </c>
      <c r="N36" s="45">
        <f t="shared" si="6"/>
        <v>41471.585213364975</v>
      </c>
    </row>
    <row r="37" spans="1:14" s="5" customFormat="1" ht="13.5" customHeight="1">
      <c r="A37" s="352">
        <v>45098</v>
      </c>
      <c r="B37" s="321" t="s">
        <v>594</v>
      </c>
      <c r="C37" s="357"/>
      <c r="D37" s="290">
        <v>4</v>
      </c>
      <c r="E37" s="37" t="s">
        <v>107</v>
      </c>
      <c r="F37" s="355"/>
      <c r="G37" s="271"/>
      <c r="H37" s="271"/>
      <c r="I37" s="275">
        <v>25000</v>
      </c>
      <c r="J37" s="359">
        <f>I37/'통장내역(환율표)'!$D$103</f>
        <v>3506.9614133016944</v>
      </c>
      <c r="K37" s="271">
        <f t="shared" si="7"/>
        <v>270637.15148847416</v>
      </c>
      <c r="L37" s="271">
        <f t="shared" si="8"/>
        <v>37964.620179164565</v>
      </c>
      <c r="M37" s="355" t="s">
        <v>453</v>
      </c>
      <c r="N37" s="45">
        <f t="shared" si="6"/>
        <v>37964.62380006328</v>
      </c>
    </row>
    <row r="38" spans="1:14" s="5" customFormat="1" ht="13.5" customHeight="1">
      <c r="A38" s="352">
        <v>45098</v>
      </c>
      <c r="B38" s="321" t="s">
        <v>880</v>
      </c>
      <c r="C38" s="357"/>
      <c r="D38" s="290">
        <v>4</v>
      </c>
      <c r="E38" s="37" t="s">
        <v>107</v>
      </c>
      <c r="F38" s="355"/>
      <c r="G38" s="271"/>
      <c r="H38" s="271"/>
      <c r="I38" s="275">
        <v>300</v>
      </c>
      <c r="J38" s="359">
        <f>I38/'통장내역(환율표)'!$D$103</f>
        <v>42.083536959620332</v>
      </c>
      <c r="K38" s="271">
        <f t="shared" si="7"/>
        <v>270337.15148847416</v>
      </c>
      <c r="L38" s="271">
        <f t="shared" si="8"/>
        <v>37922.536642204948</v>
      </c>
      <c r="M38" s="355" t="s">
        <v>453</v>
      </c>
      <c r="N38" s="45">
        <f t="shared" si="6"/>
        <v>37922.540263103663</v>
      </c>
    </row>
    <row r="39" spans="1:14" s="5" customFormat="1" ht="13.5" customHeight="1">
      <c r="A39" s="352">
        <v>45098</v>
      </c>
      <c r="B39" s="321" t="s">
        <v>250</v>
      </c>
      <c r="C39" s="357"/>
      <c r="D39" s="290">
        <v>4</v>
      </c>
      <c r="E39" s="37" t="s">
        <v>107</v>
      </c>
      <c r="F39" s="355"/>
      <c r="G39" s="271"/>
      <c r="H39" s="271"/>
      <c r="I39" s="275">
        <v>12</v>
      </c>
      <c r="J39" s="359">
        <f>I39/'통장내역(환율표)'!$D$103</f>
        <v>1.6833414783848133</v>
      </c>
      <c r="K39" s="271">
        <f t="shared" si="7"/>
        <v>270325.15148847416</v>
      </c>
      <c r="L39" s="271">
        <f t="shared" si="8"/>
        <v>37920.853300726565</v>
      </c>
      <c r="M39" s="355"/>
      <c r="N39" s="45">
        <f t="shared" si="6"/>
        <v>37920.85692162528</v>
      </c>
    </row>
    <row r="40" spans="1:14" s="5" customFormat="1" ht="13.5" customHeight="1">
      <c r="A40" s="352">
        <v>45098</v>
      </c>
      <c r="B40" s="321" t="s">
        <v>304</v>
      </c>
      <c r="C40" s="357"/>
      <c r="D40" s="290">
        <v>5</v>
      </c>
      <c r="E40" s="355" t="s">
        <v>105</v>
      </c>
      <c r="F40" s="355" t="s">
        <v>106</v>
      </c>
      <c r="G40" s="271"/>
      <c r="H40" s="271"/>
      <c r="I40" s="275">
        <v>20023</v>
      </c>
      <c r="J40" s="359">
        <f>I40/'통장내역(환율표)'!$D$103</f>
        <v>2808.7955351415931</v>
      </c>
      <c r="K40" s="271">
        <f t="shared" si="7"/>
        <v>250302.15148847416</v>
      </c>
      <c r="L40" s="271">
        <f t="shared" si="8"/>
        <v>35112.05776558497</v>
      </c>
      <c r="M40" s="355"/>
      <c r="N40" s="45">
        <f t="shared" si="6"/>
        <v>35112.061386483685</v>
      </c>
    </row>
    <row r="41" spans="1:14" s="5" customFormat="1" ht="13.5" customHeight="1">
      <c r="A41" s="352">
        <v>45098</v>
      </c>
      <c r="B41" s="321" t="s">
        <v>250</v>
      </c>
      <c r="C41" s="357"/>
      <c r="D41" s="290">
        <v>6</v>
      </c>
      <c r="E41" s="355" t="s">
        <v>107</v>
      </c>
      <c r="F41" s="355"/>
      <c r="G41" s="271"/>
      <c r="H41" s="271"/>
      <c r="I41" s="275">
        <v>7.2</v>
      </c>
      <c r="J41" s="359">
        <f>I41/'통장내역(환율표)'!$D$103</f>
        <v>1.010004887030888</v>
      </c>
      <c r="K41" s="271">
        <f t="shared" si="7"/>
        <v>250294.95148847415</v>
      </c>
      <c r="L41" s="271">
        <f t="shared" si="8"/>
        <v>35111.04776069794</v>
      </c>
      <c r="M41" s="355"/>
      <c r="N41" s="45">
        <f t="shared" si="6"/>
        <v>35111.051381596655</v>
      </c>
    </row>
    <row r="42" spans="1:14" s="5" customFormat="1" ht="13.5" customHeight="1">
      <c r="A42" s="352">
        <v>45098</v>
      </c>
      <c r="B42" s="321" t="s">
        <v>732</v>
      </c>
      <c r="C42" s="357"/>
      <c r="D42" s="290">
        <v>7</v>
      </c>
      <c r="E42" s="355" t="s">
        <v>107</v>
      </c>
      <c r="F42" s="355"/>
      <c r="G42" s="271"/>
      <c r="H42" s="271"/>
      <c r="I42" s="275">
        <v>689.12</v>
      </c>
      <c r="J42" s="359">
        <f>I42/'통장내역(환율표)'!$D$103</f>
        <v>96.668689965378547</v>
      </c>
      <c r="K42" s="271">
        <f t="shared" si="7"/>
        <v>249605.83148847416</v>
      </c>
      <c r="L42" s="271">
        <f t="shared" si="8"/>
        <v>35014.379070732561</v>
      </c>
      <c r="M42" s="355"/>
      <c r="N42" s="45">
        <f t="shared" si="6"/>
        <v>35014.382691631276</v>
      </c>
    </row>
    <row r="43" spans="1:14" s="5" customFormat="1" ht="13.5" customHeight="1">
      <c r="A43" s="352">
        <v>45098</v>
      </c>
      <c r="B43" s="321" t="s">
        <v>250</v>
      </c>
      <c r="C43" s="357"/>
      <c r="D43" s="290">
        <v>8</v>
      </c>
      <c r="E43" s="355" t="s">
        <v>107</v>
      </c>
      <c r="F43" s="355"/>
      <c r="G43" s="271"/>
      <c r="H43" s="271"/>
      <c r="I43" s="275">
        <v>3.6</v>
      </c>
      <c r="J43" s="359">
        <f>I43/'통장내역(환율표)'!$D$103</f>
        <v>0.50500244351544399</v>
      </c>
      <c r="K43" s="271">
        <f t="shared" si="7"/>
        <v>249602.23148847415</v>
      </c>
      <c r="L43" s="271">
        <f t="shared" si="8"/>
        <v>35013.874068289042</v>
      </c>
      <c r="M43" s="355"/>
      <c r="N43" s="45">
        <f t="shared" si="6"/>
        <v>35013.877689187757</v>
      </c>
    </row>
    <row r="44" spans="1:14" s="5" customFormat="1" ht="13.5" customHeight="1">
      <c r="A44" s="352">
        <v>45098</v>
      </c>
      <c r="B44" s="321" t="s">
        <v>346</v>
      </c>
      <c r="C44" s="357"/>
      <c r="D44" s="290">
        <v>9</v>
      </c>
      <c r="E44" s="355" t="s">
        <v>105</v>
      </c>
      <c r="F44" s="355" t="s">
        <v>227</v>
      </c>
      <c r="G44" s="271"/>
      <c r="H44" s="271"/>
      <c r="I44" s="271">
        <v>10500</v>
      </c>
      <c r="J44" s="359">
        <v>1472.92</v>
      </c>
      <c r="K44" s="271">
        <f t="shared" si="7"/>
        <v>239102.23148847415</v>
      </c>
      <c r="L44" s="271">
        <f t="shared" si="8"/>
        <v>33540.954068289044</v>
      </c>
      <c r="M44" s="355"/>
      <c r="N44" s="45">
        <f t="shared" si="6"/>
        <v>33540.957689187759</v>
      </c>
    </row>
    <row r="45" spans="1:14" s="5" customFormat="1" ht="13.5" customHeight="1">
      <c r="A45" s="352">
        <v>45098</v>
      </c>
      <c r="B45" s="321" t="s">
        <v>347</v>
      </c>
      <c r="C45" s="357"/>
      <c r="D45" s="290">
        <v>9</v>
      </c>
      <c r="E45" s="355" t="s">
        <v>107</v>
      </c>
      <c r="F45" s="355"/>
      <c r="G45" s="271"/>
      <c r="H45" s="271"/>
      <c r="I45" s="271">
        <v>6000</v>
      </c>
      <c r="J45" s="359">
        <f>I45/'통장내역(환율표)'!$D$103</f>
        <v>841.67073919240659</v>
      </c>
      <c r="K45" s="271">
        <f t="shared" si="7"/>
        <v>233102.23148847415</v>
      </c>
      <c r="L45" s="271">
        <f t="shared" si="8"/>
        <v>32699.283329096637</v>
      </c>
      <c r="M45" s="355"/>
      <c r="N45" s="45">
        <f t="shared" si="6"/>
        <v>32699.286949995352</v>
      </c>
    </row>
    <row r="46" spans="1:14" s="5" customFormat="1" ht="13.5" customHeight="1">
      <c r="A46" s="352">
        <v>45098</v>
      </c>
      <c r="B46" s="321" t="s">
        <v>780</v>
      </c>
      <c r="C46" s="357"/>
      <c r="D46" s="290">
        <v>10</v>
      </c>
      <c r="E46" s="355" t="s">
        <v>107</v>
      </c>
      <c r="F46" s="355"/>
      <c r="G46" s="271"/>
      <c r="H46" s="271"/>
      <c r="I46" s="275">
        <v>320</v>
      </c>
      <c r="J46" s="359">
        <f>I46/'통장내역(환율표)'!$D$103</f>
        <v>44.889106090261684</v>
      </c>
      <c r="K46" s="271">
        <f t="shared" si="7"/>
        <v>232782.23148847415</v>
      </c>
      <c r="L46" s="271">
        <f t="shared" si="8"/>
        <v>32654.394223006377</v>
      </c>
      <c r="M46" s="355"/>
      <c r="N46" s="45">
        <f t="shared" si="6"/>
        <v>32654.397843905092</v>
      </c>
    </row>
    <row r="47" spans="1:14" s="5" customFormat="1" ht="13.5" customHeight="1">
      <c r="A47" s="352">
        <v>45098</v>
      </c>
      <c r="B47" s="321" t="s">
        <v>250</v>
      </c>
      <c r="C47" s="357"/>
      <c r="D47" s="290">
        <v>11</v>
      </c>
      <c r="E47" s="355" t="s">
        <v>107</v>
      </c>
      <c r="F47" s="355"/>
      <c r="G47" s="271"/>
      <c r="H47" s="271"/>
      <c r="I47" s="275">
        <v>7.2</v>
      </c>
      <c r="J47" s="359">
        <f>I47/'통장내역(환율표)'!$D$103</f>
        <v>1.010004887030888</v>
      </c>
      <c r="K47" s="271">
        <f t="shared" si="7"/>
        <v>232775.03148847414</v>
      </c>
      <c r="L47" s="271">
        <f t="shared" si="8"/>
        <v>32653.384218119347</v>
      </c>
      <c r="M47" s="355"/>
      <c r="N47" s="45">
        <f t="shared" si="6"/>
        <v>32653.387839018062</v>
      </c>
    </row>
    <row r="48" spans="1:14" s="5" customFormat="1" ht="13.5" customHeight="1">
      <c r="A48" s="352">
        <v>45098</v>
      </c>
      <c r="B48" s="321" t="s">
        <v>789</v>
      </c>
      <c r="C48" s="357"/>
      <c r="D48" s="290">
        <v>12</v>
      </c>
      <c r="E48" s="355" t="s">
        <v>107</v>
      </c>
      <c r="F48" s="355"/>
      <c r="G48" s="271"/>
      <c r="H48" s="271"/>
      <c r="I48" s="275">
        <v>7906</v>
      </c>
      <c r="J48" s="359">
        <f>I48/'통장내역(환율표)'!$D$103</f>
        <v>1109.0414773425277</v>
      </c>
      <c r="K48" s="271">
        <f t="shared" si="7"/>
        <v>224869.03148847414</v>
      </c>
      <c r="L48" s="271">
        <f t="shared" si="8"/>
        <v>31544.342740776818</v>
      </c>
      <c r="M48" s="355" t="s">
        <v>790</v>
      </c>
      <c r="N48" s="45">
        <f t="shared" si="6"/>
        <v>31544.346361675533</v>
      </c>
    </row>
    <row r="49" spans="1:14" s="5" customFormat="1" ht="13.5" customHeight="1">
      <c r="A49" s="352">
        <v>45098</v>
      </c>
      <c r="B49" s="321" t="s">
        <v>250</v>
      </c>
      <c r="C49" s="357"/>
      <c r="D49" s="290">
        <v>13</v>
      </c>
      <c r="E49" s="355" t="s">
        <v>107</v>
      </c>
      <c r="F49" s="355"/>
      <c r="G49" s="271"/>
      <c r="H49" s="271"/>
      <c r="I49" s="275">
        <v>3.6</v>
      </c>
      <c r="J49" s="359">
        <f>I49/'통장내역(환율표)'!$D$103</f>
        <v>0.50500244351544399</v>
      </c>
      <c r="K49" s="271">
        <f t="shared" si="7"/>
        <v>224865.43148847413</v>
      </c>
      <c r="L49" s="271">
        <f t="shared" si="8"/>
        <v>31543.837738333303</v>
      </c>
      <c r="M49" s="355"/>
      <c r="N49" s="45">
        <f t="shared" si="6"/>
        <v>31543.841359232018</v>
      </c>
    </row>
    <row r="50" spans="1:14" s="5" customFormat="1" ht="13.5" customHeight="1">
      <c r="A50" s="352">
        <v>45102</v>
      </c>
      <c r="B50" s="321" t="s">
        <v>781</v>
      </c>
      <c r="C50" s="357"/>
      <c r="D50" s="290">
        <v>14</v>
      </c>
      <c r="E50" s="355" t="s">
        <v>146</v>
      </c>
      <c r="F50" s="355" t="s">
        <v>147</v>
      </c>
      <c r="G50" s="271"/>
      <c r="H50" s="271"/>
      <c r="I50" s="275">
        <v>603.46</v>
      </c>
      <c r="J50" s="359">
        <f>I50/'통장내역(환율표)'!$D$103</f>
        <v>84.652437378841626</v>
      </c>
      <c r="K50" s="271">
        <f t="shared" si="7"/>
        <v>224261.97148847414</v>
      </c>
      <c r="L50" s="271">
        <f t="shared" si="8"/>
        <v>31459.185300954461</v>
      </c>
      <c r="M50" s="355"/>
      <c r="N50" s="45">
        <f t="shared" si="6"/>
        <v>31459.188921853176</v>
      </c>
    </row>
    <row r="51" spans="1:14" s="5" customFormat="1" ht="13.5" customHeight="1">
      <c r="A51" s="352">
        <v>45102</v>
      </c>
      <c r="B51" s="321" t="s">
        <v>782</v>
      </c>
      <c r="C51" s="357"/>
      <c r="D51" s="290">
        <v>15</v>
      </c>
      <c r="E51" s="355" t="s">
        <v>116</v>
      </c>
      <c r="F51" s="355" t="s">
        <v>140</v>
      </c>
      <c r="G51" s="271"/>
      <c r="H51" s="271"/>
      <c r="I51" s="275">
        <v>98.5</v>
      </c>
      <c r="J51" s="359">
        <f>I51/'통장내역(환율표)'!$D$103</f>
        <v>13.817427968408676</v>
      </c>
      <c r="K51" s="271">
        <f t="shared" si="7"/>
        <v>224163.47148847414</v>
      </c>
      <c r="L51" s="271">
        <f t="shared" si="8"/>
        <v>31445.367872986051</v>
      </c>
      <c r="M51" s="355"/>
      <c r="N51" s="45">
        <f t="shared" si="6"/>
        <v>31445.371493884766</v>
      </c>
    </row>
    <row r="52" spans="1:14" s="5" customFormat="1" ht="13.5" customHeight="1">
      <c r="A52" s="352">
        <v>45102</v>
      </c>
      <c r="B52" s="321" t="s">
        <v>783</v>
      </c>
      <c r="C52" s="357"/>
      <c r="D52" s="290">
        <v>16</v>
      </c>
      <c r="E52" s="355" t="s">
        <v>107</v>
      </c>
      <c r="F52" s="355"/>
      <c r="G52" s="271"/>
      <c r="H52" s="271"/>
      <c r="I52" s="275">
        <v>210.71</v>
      </c>
      <c r="J52" s="359">
        <f>I52/'통장내역(환율표)'!$D$103</f>
        <v>29.558073575872001</v>
      </c>
      <c r="K52" s="271">
        <f t="shared" si="7"/>
        <v>223952.76148847415</v>
      </c>
      <c r="L52" s="271">
        <f t="shared" si="8"/>
        <v>31415.809799410181</v>
      </c>
      <c r="M52" s="355"/>
      <c r="N52" s="45">
        <f t="shared" si="6"/>
        <v>31415.813420308896</v>
      </c>
    </row>
    <row r="53" spans="1:14" s="5" customFormat="1" ht="13.5" customHeight="1">
      <c r="A53" s="352">
        <v>45102</v>
      </c>
      <c r="B53" s="321" t="s">
        <v>250</v>
      </c>
      <c r="C53" s="357"/>
      <c r="D53" s="290">
        <v>17</v>
      </c>
      <c r="E53" s="355" t="s">
        <v>107</v>
      </c>
      <c r="F53" s="355"/>
      <c r="G53" s="271"/>
      <c r="H53" s="271"/>
      <c r="I53" s="275">
        <v>3.6</v>
      </c>
      <c r="J53" s="359">
        <f>I53/'통장내역(환율표)'!$D$103</f>
        <v>0.50500244351544399</v>
      </c>
      <c r="K53" s="271">
        <f t="shared" si="7"/>
        <v>223949.16148847414</v>
      </c>
      <c r="L53" s="271">
        <f t="shared" si="8"/>
        <v>31415.304796966666</v>
      </c>
      <c r="M53" s="355"/>
      <c r="N53" s="45">
        <f t="shared" si="6"/>
        <v>31415.308417865381</v>
      </c>
    </row>
    <row r="54" spans="1:14" s="5" customFormat="1" ht="13.5" customHeight="1">
      <c r="A54" s="352">
        <v>45102</v>
      </c>
      <c r="B54" s="356" t="s">
        <v>714</v>
      </c>
      <c r="C54" s="357"/>
      <c r="D54" s="290">
        <v>18</v>
      </c>
      <c r="E54" s="355" t="s">
        <v>146</v>
      </c>
      <c r="F54" s="355" t="s">
        <v>147</v>
      </c>
      <c r="G54" s="271"/>
      <c r="H54" s="271"/>
      <c r="I54" s="275">
        <v>964</v>
      </c>
      <c r="J54" s="359">
        <f>I54/'통장내역(환율표)'!$D$103</f>
        <v>135.22843209691334</v>
      </c>
      <c r="K54" s="271">
        <f t="shared" si="7"/>
        <v>222985.16148847414</v>
      </c>
      <c r="L54" s="271">
        <f t="shared" si="8"/>
        <v>31280.076364869754</v>
      </c>
      <c r="M54" s="355"/>
      <c r="N54" s="45">
        <f t="shared" si="6"/>
        <v>31280.079985768469</v>
      </c>
    </row>
    <row r="55" spans="1:14" s="5" customFormat="1" ht="13.5" customHeight="1">
      <c r="A55" s="352">
        <v>45102</v>
      </c>
      <c r="B55" s="356" t="s">
        <v>715</v>
      </c>
      <c r="C55" s="357"/>
      <c r="D55" s="290">
        <v>19</v>
      </c>
      <c r="E55" s="355" t="s">
        <v>146</v>
      </c>
      <c r="F55" s="355" t="s">
        <v>147</v>
      </c>
      <c r="G55" s="271"/>
      <c r="H55" s="271"/>
      <c r="I55" s="275">
        <v>2507</v>
      </c>
      <c r="J55" s="359">
        <f>I55/'통장내역(환율표)'!$D$103</f>
        <v>351.67809052589388</v>
      </c>
      <c r="K55" s="271">
        <f t="shared" si="7"/>
        <v>220478.16148847414</v>
      </c>
      <c r="L55" s="271">
        <f t="shared" si="8"/>
        <v>30928.398274343861</v>
      </c>
      <c r="M55" s="355"/>
      <c r="N55" s="45">
        <f t="shared" si="6"/>
        <v>30928.401895242576</v>
      </c>
    </row>
    <row r="56" spans="1:14" s="5" customFormat="1" ht="13.5" customHeight="1">
      <c r="A56" s="352">
        <v>45102</v>
      </c>
      <c r="B56" s="356" t="s">
        <v>716</v>
      </c>
      <c r="C56" s="357"/>
      <c r="D56" s="290">
        <v>20</v>
      </c>
      <c r="E56" s="355" t="s">
        <v>146</v>
      </c>
      <c r="F56" s="355" t="s">
        <v>147</v>
      </c>
      <c r="G56" s="271"/>
      <c r="H56" s="271"/>
      <c r="I56" s="275">
        <v>233</v>
      </c>
      <c r="J56" s="359">
        <f>I56/'통장내역(환율표)'!$D$103</f>
        <v>32.684880371971794</v>
      </c>
      <c r="K56" s="271">
        <f t="shared" si="7"/>
        <v>220245.16148847414</v>
      </c>
      <c r="L56" s="271">
        <f t="shared" si="8"/>
        <v>30895.713393971888</v>
      </c>
      <c r="M56" s="355"/>
      <c r="N56" s="45">
        <f t="shared" si="6"/>
        <v>30895.717014870603</v>
      </c>
    </row>
    <row r="57" spans="1:14" s="5" customFormat="1" ht="13.5" customHeight="1">
      <c r="A57" s="352">
        <v>45102</v>
      </c>
      <c r="B57" s="321" t="s">
        <v>250</v>
      </c>
      <c r="C57" s="357"/>
      <c r="D57" s="290">
        <v>21</v>
      </c>
      <c r="E57" s="355" t="s">
        <v>107</v>
      </c>
      <c r="F57" s="355"/>
      <c r="G57" s="271"/>
      <c r="H57" s="271"/>
      <c r="I57" s="275">
        <v>3.6</v>
      </c>
      <c r="J57" s="359">
        <f>I57/'통장내역(환율표)'!$D$103</f>
        <v>0.50500244351544399</v>
      </c>
      <c r="K57" s="271">
        <f t="shared" si="7"/>
        <v>220241.56148847414</v>
      </c>
      <c r="L57" s="271">
        <f t="shared" si="8"/>
        <v>30895.208391528373</v>
      </c>
      <c r="M57" s="355"/>
      <c r="N57" s="45">
        <f t="shared" si="6"/>
        <v>30895.212012427088</v>
      </c>
    </row>
    <row r="58" spans="1:14" s="5" customFormat="1" ht="13.5" customHeight="1">
      <c r="A58" s="352">
        <v>45102</v>
      </c>
      <c r="B58" s="321" t="s">
        <v>733</v>
      </c>
      <c r="C58" s="357"/>
      <c r="D58" s="290">
        <v>22</v>
      </c>
      <c r="E58" s="355" t="s">
        <v>146</v>
      </c>
      <c r="F58" s="355" t="s">
        <v>147</v>
      </c>
      <c r="G58" s="271"/>
      <c r="H58" s="271"/>
      <c r="I58" s="275">
        <v>770.97</v>
      </c>
      <c r="J58" s="359">
        <f>I58/'통장내역(환율표)'!$D$103</f>
        <v>108.1504816325283</v>
      </c>
      <c r="K58" s="271">
        <f t="shared" si="7"/>
        <v>219470.59148847414</v>
      </c>
      <c r="L58" s="271">
        <f t="shared" si="8"/>
        <v>30787.057909895844</v>
      </c>
      <c r="M58" s="355"/>
      <c r="N58" s="45">
        <f t="shared" si="6"/>
        <v>30787.061530794559</v>
      </c>
    </row>
    <row r="59" spans="1:14" s="5" customFormat="1" ht="13.5" customHeight="1">
      <c r="A59" s="352">
        <v>45102</v>
      </c>
      <c r="B59" s="321" t="s">
        <v>250</v>
      </c>
      <c r="C59" s="357"/>
      <c r="D59" s="290">
        <v>23</v>
      </c>
      <c r="E59" s="355" t="s">
        <v>107</v>
      </c>
      <c r="F59" s="355"/>
      <c r="G59" s="271"/>
      <c r="H59" s="271"/>
      <c r="I59" s="275">
        <v>3.6</v>
      </c>
      <c r="J59" s="359">
        <f>I59/'통장내역(환율표)'!$D$103</f>
        <v>0.50500244351544399</v>
      </c>
      <c r="K59" s="271">
        <f t="shared" si="7"/>
        <v>219466.99148847413</v>
      </c>
      <c r="L59" s="271">
        <f t="shared" si="8"/>
        <v>30786.552907452329</v>
      </c>
      <c r="M59" s="355"/>
      <c r="N59" s="45">
        <f t="shared" si="6"/>
        <v>30786.556528351044</v>
      </c>
    </row>
    <row r="60" spans="1:14" s="5" customFormat="1" ht="13.5" customHeight="1">
      <c r="A60" s="352">
        <v>45102</v>
      </c>
      <c r="B60" s="321" t="s">
        <v>734</v>
      </c>
      <c r="C60" s="357"/>
      <c r="D60" s="290">
        <v>24</v>
      </c>
      <c r="E60" s="355" t="s">
        <v>146</v>
      </c>
      <c r="F60" s="355" t="s">
        <v>147</v>
      </c>
      <c r="G60" s="271"/>
      <c r="H60" s="271"/>
      <c r="I60" s="275">
        <v>4465.24</v>
      </c>
      <c r="J60" s="359">
        <f>I60/'통장내역(환율표)'!$D$103</f>
        <v>626.37697524525026</v>
      </c>
      <c r="K60" s="271">
        <f t="shared" si="7"/>
        <v>215001.75148847414</v>
      </c>
      <c r="L60" s="271">
        <f t="shared" si="8"/>
        <v>30160.175932207079</v>
      </c>
      <c r="M60" s="355"/>
      <c r="N60" s="45">
        <f t="shared" si="6"/>
        <v>30160.179553105794</v>
      </c>
    </row>
    <row r="61" spans="1:14" s="5" customFormat="1" ht="13.5" customHeight="1">
      <c r="A61" s="352">
        <v>45102</v>
      </c>
      <c r="B61" s="321" t="s">
        <v>250</v>
      </c>
      <c r="C61" s="357"/>
      <c r="D61" s="290">
        <v>25</v>
      </c>
      <c r="E61" s="355" t="s">
        <v>107</v>
      </c>
      <c r="F61" s="355"/>
      <c r="G61" s="271"/>
      <c r="H61" s="271"/>
      <c r="I61" s="275">
        <v>3.6</v>
      </c>
      <c r="J61" s="359">
        <f>I61/'통장내역(환율표)'!$D$103</f>
        <v>0.50500244351544399</v>
      </c>
      <c r="K61" s="271">
        <f t="shared" si="7"/>
        <v>214998.15148847413</v>
      </c>
      <c r="L61" s="271">
        <f t="shared" si="8"/>
        <v>30159.670929763564</v>
      </c>
      <c r="M61" s="355"/>
      <c r="N61" s="45">
        <f t="shared" si="6"/>
        <v>30159.674550662279</v>
      </c>
    </row>
    <row r="62" spans="1:14" s="5" customFormat="1" ht="13.5" customHeight="1">
      <c r="A62" s="352">
        <v>45102</v>
      </c>
      <c r="B62" s="321" t="s">
        <v>735</v>
      </c>
      <c r="C62" s="357"/>
      <c r="D62" s="290">
        <v>26</v>
      </c>
      <c r="E62" s="355" t="s">
        <v>146</v>
      </c>
      <c r="F62" s="355" t="s">
        <v>147</v>
      </c>
      <c r="G62" s="271"/>
      <c r="H62" s="271"/>
      <c r="I62" s="275">
        <v>931.65</v>
      </c>
      <c r="J62" s="359">
        <f>I62/'통장내역(환율표)'!$D$103</f>
        <v>130.69042402810095</v>
      </c>
      <c r="K62" s="271">
        <f t="shared" si="7"/>
        <v>214066.50148847414</v>
      </c>
      <c r="L62" s="271">
        <f t="shared" si="8"/>
        <v>30028.980505735464</v>
      </c>
      <c r="M62" s="355"/>
      <c r="N62" s="45">
        <f t="shared" si="6"/>
        <v>30028.984126634179</v>
      </c>
    </row>
    <row r="63" spans="1:14" s="5" customFormat="1" ht="13.5" customHeight="1">
      <c r="A63" s="352">
        <v>45102</v>
      </c>
      <c r="B63" s="321" t="s">
        <v>250</v>
      </c>
      <c r="C63" s="357"/>
      <c r="D63" s="290">
        <v>27</v>
      </c>
      <c r="E63" s="355" t="s">
        <v>107</v>
      </c>
      <c r="F63" s="355"/>
      <c r="G63" s="271"/>
      <c r="H63" s="271"/>
      <c r="I63" s="275">
        <v>3.6</v>
      </c>
      <c r="J63" s="359">
        <f>I63/'통장내역(환율표)'!$D$103</f>
        <v>0.50500244351544399</v>
      </c>
      <c r="K63" s="271">
        <f t="shared" si="7"/>
        <v>214062.90148847413</v>
      </c>
      <c r="L63" s="271">
        <f t="shared" si="8"/>
        <v>30028.475503291949</v>
      </c>
      <c r="M63" s="355"/>
      <c r="N63" s="45">
        <f t="shared" si="6"/>
        <v>30028.479124190664</v>
      </c>
    </row>
    <row r="64" spans="1:14" s="5" customFormat="1" ht="13.5" customHeight="1">
      <c r="A64" s="352">
        <v>45102</v>
      </c>
      <c r="B64" s="321" t="s">
        <v>736</v>
      </c>
      <c r="C64" s="357"/>
      <c r="D64" s="290">
        <v>28</v>
      </c>
      <c r="E64" s="355" t="s">
        <v>146</v>
      </c>
      <c r="F64" s="355" t="s">
        <v>147</v>
      </c>
      <c r="G64" s="271"/>
      <c r="H64" s="271"/>
      <c r="I64" s="275">
        <v>3629</v>
      </c>
      <c r="J64" s="359">
        <f>I64/'통장내역(환율표)'!$D$103</f>
        <v>509.07051875487394</v>
      </c>
      <c r="K64" s="271">
        <f t="shared" si="7"/>
        <v>210433.90148847413</v>
      </c>
      <c r="L64" s="271">
        <f t="shared" si="8"/>
        <v>29519.404984537076</v>
      </c>
      <c r="M64" s="355"/>
      <c r="N64" s="45">
        <f t="shared" si="6"/>
        <v>29519.40860543579</v>
      </c>
    </row>
    <row r="65" spans="1:14" s="5" customFormat="1" ht="13.5" customHeight="1">
      <c r="A65" s="352">
        <v>45102</v>
      </c>
      <c r="B65" s="321" t="s">
        <v>250</v>
      </c>
      <c r="C65" s="357"/>
      <c r="D65" s="290">
        <v>29</v>
      </c>
      <c r="E65" s="355" t="s">
        <v>107</v>
      </c>
      <c r="F65" s="355"/>
      <c r="G65" s="271"/>
      <c r="H65" s="271"/>
      <c r="I65" s="275">
        <v>3.6</v>
      </c>
      <c r="J65" s="359">
        <f>I65/'통장내역(환율표)'!$D$103</f>
        <v>0.50500244351544399</v>
      </c>
      <c r="K65" s="271">
        <f t="shared" si="7"/>
        <v>210430.30148847413</v>
      </c>
      <c r="L65" s="271">
        <f t="shared" si="8"/>
        <v>29518.899982093561</v>
      </c>
      <c r="M65" s="355"/>
      <c r="N65" s="45">
        <f t="shared" si="6"/>
        <v>29518.903602992275</v>
      </c>
    </row>
    <row r="66" spans="1:14" s="5" customFormat="1" ht="13.5" customHeight="1">
      <c r="A66" s="352">
        <v>45102</v>
      </c>
      <c r="B66" s="321" t="s">
        <v>737</v>
      </c>
      <c r="C66" s="357"/>
      <c r="D66" s="290">
        <v>30</v>
      </c>
      <c r="E66" s="355" t="s">
        <v>146</v>
      </c>
      <c r="F66" s="355" t="s">
        <v>147</v>
      </c>
      <c r="G66" s="271"/>
      <c r="H66" s="271"/>
      <c r="I66" s="275">
        <v>3302</v>
      </c>
      <c r="J66" s="359">
        <f>I66/'통장내역(환율표)'!$D$103</f>
        <v>463.19946346888781</v>
      </c>
      <c r="K66" s="271">
        <f t="shared" si="7"/>
        <v>207128.30148847413</v>
      </c>
      <c r="L66" s="271">
        <f t="shared" si="8"/>
        <v>29055.700518624672</v>
      </c>
      <c r="M66" s="355"/>
      <c r="N66" s="45">
        <f t="shared" si="6"/>
        <v>29055.704139523386</v>
      </c>
    </row>
    <row r="67" spans="1:14" s="5" customFormat="1" ht="13.5" customHeight="1">
      <c r="A67" s="352">
        <v>45102</v>
      </c>
      <c r="B67" s="321" t="s">
        <v>250</v>
      </c>
      <c r="C67" s="357"/>
      <c r="D67" s="290">
        <v>31</v>
      </c>
      <c r="E67" s="355" t="s">
        <v>107</v>
      </c>
      <c r="F67" s="355"/>
      <c r="G67" s="271"/>
      <c r="H67" s="271"/>
      <c r="I67" s="275">
        <v>3.6</v>
      </c>
      <c r="J67" s="359">
        <f>I67/'통장내역(환율표)'!$D$103</f>
        <v>0.50500244351544399</v>
      </c>
      <c r="K67" s="271">
        <f t="shared" si="7"/>
        <v>207124.70148847412</v>
      </c>
      <c r="L67" s="271">
        <f t="shared" si="8"/>
        <v>29055.195516181157</v>
      </c>
      <c r="M67" s="355"/>
      <c r="N67" s="45">
        <f t="shared" si="6"/>
        <v>29055.199137079871</v>
      </c>
    </row>
    <row r="68" spans="1:14" s="5" customFormat="1" ht="13.5" customHeight="1">
      <c r="A68" s="352">
        <v>45102</v>
      </c>
      <c r="B68" s="321" t="s">
        <v>738</v>
      </c>
      <c r="C68" s="357"/>
      <c r="D68" s="290">
        <v>32</v>
      </c>
      <c r="E68" s="355" t="s">
        <v>125</v>
      </c>
      <c r="F68" s="355" t="s">
        <v>145</v>
      </c>
      <c r="G68" s="271"/>
      <c r="H68" s="271"/>
      <c r="I68" s="275">
        <v>9361.35</v>
      </c>
      <c r="J68" s="359">
        <f>I68/'통장내역(환율표)'!$D$103</f>
        <v>1313.1957290564726</v>
      </c>
      <c r="K68" s="271">
        <f t="shared" si="7"/>
        <v>197763.35148847412</v>
      </c>
      <c r="L68" s="271">
        <f t="shared" si="8"/>
        <v>27741.999787124685</v>
      </c>
      <c r="M68" s="355"/>
      <c r="N68" s="45">
        <f t="shared" si="6"/>
        <v>27742.0034080234</v>
      </c>
    </row>
    <row r="69" spans="1:14" s="5" customFormat="1" ht="13.5" customHeight="1">
      <c r="A69" s="352">
        <v>45102</v>
      </c>
      <c r="B69" s="321" t="s">
        <v>250</v>
      </c>
      <c r="C69" s="357"/>
      <c r="D69" s="290">
        <v>33</v>
      </c>
      <c r="E69" s="355" t="s">
        <v>107</v>
      </c>
      <c r="F69" s="355"/>
      <c r="G69" s="271"/>
      <c r="H69" s="271"/>
      <c r="I69" s="275">
        <v>3.6</v>
      </c>
      <c r="J69" s="359">
        <f>I69/'통장내역(환율표)'!$D$103</f>
        <v>0.50500244351544399</v>
      </c>
      <c r="K69" s="271">
        <f t="shared" si="7"/>
        <v>197759.75148847411</v>
      </c>
      <c r="L69" s="271">
        <f t="shared" si="8"/>
        <v>27741.49478468117</v>
      </c>
      <c r="M69" s="355"/>
      <c r="N69" s="45">
        <f t="shared" si="6"/>
        <v>27741.498405579885</v>
      </c>
    </row>
    <row r="70" spans="1:14" s="5" customFormat="1" ht="13.5" customHeight="1">
      <c r="A70" s="352">
        <v>45102</v>
      </c>
      <c r="B70" s="321" t="s">
        <v>739</v>
      </c>
      <c r="C70" s="357"/>
      <c r="D70" s="290">
        <v>34</v>
      </c>
      <c r="E70" s="355" t="s">
        <v>146</v>
      </c>
      <c r="F70" s="355" t="s">
        <v>147</v>
      </c>
      <c r="G70" s="271"/>
      <c r="H70" s="271"/>
      <c r="I70" s="275">
        <v>3222</v>
      </c>
      <c r="J70" s="359">
        <f>I70/'통장내역(환율표)'!$D$103</f>
        <v>451.97718694632238</v>
      </c>
      <c r="K70" s="271">
        <f t="shared" si="7"/>
        <v>194537.75148847411</v>
      </c>
      <c r="L70" s="271">
        <f t="shared" si="8"/>
        <v>27289.517597734848</v>
      </c>
      <c r="M70" s="355"/>
      <c r="N70" s="45">
        <f t="shared" si="6"/>
        <v>27289.521218633563</v>
      </c>
    </row>
    <row r="71" spans="1:14" s="5" customFormat="1" ht="13.5" customHeight="1">
      <c r="A71" s="352">
        <v>45102</v>
      </c>
      <c r="B71" s="321" t="s">
        <v>250</v>
      </c>
      <c r="C71" s="357"/>
      <c r="D71" s="290">
        <v>35</v>
      </c>
      <c r="E71" s="355" t="s">
        <v>107</v>
      </c>
      <c r="F71" s="355"/>
      <c r="G71" s="271"/>
      <c r="H71" s="271"/>
      <c r="I71" s="275">
        <v>3.6</v>
      </c>
      <c r="J71" s="359">
        <f>I71/'통장내역(환율표)'!$D$103</f>
        <v>0.50500244351544399</v>
      </c>
      <c r="K71" s="271">
        <f t="shared" si="7"/>
        <v>194534.1514884741</v>
      </c>
      <c r="L71" s="271">
        <f t="shared" si="8"/>
        <v>27289.012595291333</v>
      </c>
      <c r="M71" s="355"/>
      <c r="N71" s="45">
        <f t="shared" si="6"/>
        <v>27289.016216190048</v>
      </c>
    </row>
    <row r="72" spans="1:14" s="5" customFormat="1" ht="13.5" customHeight="1">
      <c r="A72" s="352">
        <v>45102</v>
      </c>
      <c r="B72" s="356" t="s">
        <v>740</v>
      </c>
      <c r="C72" s="357"/>
      <c r="D72" s="290">
        <v>36</v>
      </c>
      <c r="E72" s="355" t="s">
        <v>146</v>
      </c>
      <c r="F72" s="355" t="s">
        <v>147</v>
      </c>
      <c r="G72" s="271"/>
      <c r="H72" s="271"/>
      <c r="I72" s="275">
        <v>5798.04</v>
      </c>
      <c r="J72" s="359">
        <f>I72/'통장내역(환율표)'!$D$103</f>
        <v>813.34010211119028</v>
      </c>
      <c r="K72" s="271">
        <f t="shared" si="7"/>
        <v>188736.1114884741</v>
      </c>
      <c r="L72" s="271">
        <f t="shared" si="8"/>
        <v>26475.672493180144</v>
      </c>
      <c r="M72" s="355"/>
      <c r="N72" s="45">
        <f t="shared" si="6"/>
        <v>26475.676114078859</v>
      </c>
    </row>
    <row r="73" spans="1:14" s="5" customFormat="1" ht="13.5" customHeight="1">
      <c r="A73" s="352">
        <v>45102</v>
      </c>
      <c r="B73" s="321" t="s">
        <v>250</v>
      </c>
      <c r="C73" s="357"/>
      <c r="D73" s="290">
        <v>37</v>
      </c>
      <c r="E73" s="355" t="s">
        <v>107</v>
      </c>
      <c r="F73" s="355"/>
      <c r="G73" s="271"/>
      <c r="H73" s="271"/>
      <c r="I73" s="275">
        <v>3.6</v>
      </c>
      <c r="J73" s="359">
        <f>I73/'통장내역(환율표)'!$D$103</f>
        <v>0.50500244351544399</v>
      </c>
      <c r="K73" s="271">
        <f t="shared" si="7"/>
        <v>188732.51148847409</v>
      </c>
      <c r="L73" s="271">
        <f t="shared" si="8"/>
        <v>26475.167490736629</v>
      </c>
      <c r="M73" s="355"/>
      <c r="N73" s="45">
        <f t="shared" si="6"/>
        <v>26475.171111635344</v>
      </c>
    </row>
    <row r="74" spans="1:14" s="5" customFormat="1" ht="13.5" customHeight="1">
      <c r="A74" s="352">
        <v>45102</v>
      </c>
      <c r="B74" s="321" t="s">
        <v>741</v>
      </c>
      <c r="C74" s="357"/>
      <c r="D74" s="290">
        <v>38</v>
      </c>
      <c r="E74" s="355" t="s">
        <v>146</v>
      </c>
      <c r="F74" s="355" t="s">
        <v>147</v>
      </c>
      <c r="G74" s="271"/>
      <c r="H74" s="271"/>
      <c r="I74" s="275">
        <v>5854.24</v>
      </c>
      <c r="J74" s="359">
        <f>I74/'통장내역(환율표)'!$D$103</f>
        <v>821.22375136829237</v>
      </c>
      <c r="K74" s="271">
        <f t="shared" si="7"/>
        <v>182878.2714884741</v>
      </c>
      <c r="L74" s="271">
        <f t="shared" si="8"/>
        <v>25653.943739368337</v>
      </c>
      <c r="M74" s="355"/>
      <c r="N74" s="45">
        <f t="shared" si="6"/>
        <v>25653.947360267051</v>
      </c>
    </row>
    <row r="75" spans="1:14" s="5" customFormat="1" ht="13.5" customHeight="1">
      <c r="A75" s="352">
        <v>45102</v>
      </c>
      <c r="B75" s="321" t="s">
        <v>250</v>
      </c>
      <c r="C75" s="357"/>
      <c r="D75" s="290">
        <v>39</v>
      </c>
      <c r="E75" s="355" t="s">
        <v>107</v>
      </c>
      <c r="F75" s="355"/>
      <c r="G75" s="271"/>
      <c r="H75" s="271"/>
      <c r="I75" s="275">
        <v>3.6</v>
      </c>
      <c r="J75" s="359">
        <f>I75/'통장내역(환율표)'!$D$103</f>
        <v>0.50500244351544399</v>
      </c>
      <c r="K75" s="271">
        <f t="shared" si="7"/>
        <v>182874.67148847409</v>
      </c>
      <c r="L75" s="271">
        <f t="shared" si="8"/>
        <v>25653.438736924822</v>
      </c>
      <c r="M75" s="355"/>
      <c r="N75" s="45">
        <f t="shared" si="6"/>
        <v>25653.442357823536</v>
      </c>
    </row>
    <row r="76" spans="1:14" s="5" customFormat="1" ht="13.5" customHeight="1">
      <c r="A76" s="352">
        <v>45102</v>
      </c>
      <c r="B76" s="358" t="s">
        <v>717</v>
      </c>
      <c r="C76" s="357"/>
      <c r="D76" s="290">
        <v>40</v>
      </c>
      <c r="E76" s="355" t="s">
        <v>107</v>
      </c>
      <c r="F76" s="355"/>
      <c r="G76" s="271"/>
      <c r="H76" s="271"/>
      <c r="I76" s="275">
        <v>407.74</v>
      </c>
      <c r="J76" s="359">
        <f>I76/'통장내역(환율표)'!$D$103</f>
        <v>57.197137866385312</v>
      </c>
      <c r="K76" s="271">
        <f t="shared" si="7"/>
        <v>182466.9314884741</v>
      </c>
      <c r="L76" s="271">
        <f t="shared" si="8"/>
        <v>25596.241599058438</v>
      </c>
      <c r="M76" s="355"/>
      <c r="N76" s="45">
        <f t="shared" si="6"/>
        <v>25596.245219957153</v>
      </c>
    </row>
    <row r="77" spans="1:14" s="5" customFormat="1" ht="13.5" customHeight="1">
      <c r="A77" s="352">
        <v>45102</v>
      </c>
      <c r="B77" s="358" t="s">
        <v>718</v>
      </c>
      <c r="C77" s="357"/>
      <c r="D77" s="290">
        <v>41</v>
      </c>
      <c r="E77" s="355" t="s">
        <v>107</v>
      </c>
      <c r="F77" s="355"/>
      <c r="G77" s="271"/>
      <c r="H77" s="271"/>
      <c r="I77" s="275">
        <v>182</v>
      </c>
      <c r="J77" s="359">
        <f>I77/'통장내역(환율표)'!$D$103</f>
        <v>25.530679088836333</v>
      </c>
      <c r="K77" s="271">
        <f t="shared" si="7"/>
        <v>182284.9314884741</v>
      </c>
      <c r="L77" s="271">
        <f t="shared" si="8"/>
        <v>25570.710919969602</v>
      </c>
      <c r="M77" s="355"/>
      <c r="N77" s="45">
        <f t="shared" si="6"/>
        <v>25570.714540868317</v>
      </c>
    </row>
    <row r="78" spans="1:14" s="5" customFormat="1" ht="13.5" customHeight="1">
      <c r="A78" s="352">
        <v>45102</v>
      </c>
      <c r="B78" s="358" t="s">
        <v>719</v>
      </c>
      <c r="C78" s="357"/>
      <c r="D78" s="290">
        <v>42</v>
      </c>
      <c r="E78" s="355" t="s">
        <v>107</v>
      </c>
      <c r="F78" s="355"/>
      <c r="G78" s="271"/>
      <c r="H78" s="271"/>
      <c r="I78" s="275">
        <v>300</v>
      </c>
      <c r="J78" s="359">
        <f>I78/'통장내역(환율표)'!$D$103</f>
        <v>42.083536959620332</v>
      </c>
      <c r="K78" s="271">
        <f t="shared" si="7"/>
        <v>181984.9314884741</v>
      </c>
      <c r="L78" s="271">
        <f t="shared" si="8"/>
        <v>25528.627383009982</v>
      </c>
      <c r="M78" s="355"/>
      <c r="N78" s="45">
        <f t="shared" si="6"/>
        <v>25528.631003908697</v>
      </c>
    </row>
    <row r="79" spans="1:14" s="5" customFormat="1" ht="13.5" customHeight="1">
      <c r="A79" s="352">
        <v>45102</v>
      </c>
      <c r="B79" s="358" t="s">
        <v>784</v>
      </c>
      <c r="C79" s="357"/>
      <c r="D79" s="290">
        <v>43</v>
      </c>
      <c r="E79" s="355" t="s">
        <v>107</v>
      </c>
      <c r="F79" s="355"/>
      <c r="G79" s="271"/>
      <c r="H79" s="271"/>
      <c r="I79" s="275">
        <v>159</v>
      </c>
      <c r="J79" s="359">
        <f>I79/'통장내역(환율표)'!$D$103</f>
        <v>22.304274588598776</v>
      </c>
      <c r="K79" s="271">
        <f t="shared" si="7"/>
        <v>181825.9314884741</v>
      </c>
      <c r="L79" s="271">
        <f t="shared" si="8"/>
        <v>25506.323108421384</v>
      </c>
      <c r="M79" s="355"/>
      <c r="N79" s="45">
        <f t="shared" si="6"/>
        <v>25506.326729320099</v>
      </c>
    </row>
    <row r="80" spans="1:14" s="5" customFormat="1" ht="13.5" customHeight="1">
      <c r="A80" s="352">
        <v>45102</v>
      </c>
      <c r="B80" s="358" t="s">
        <v>721</v>
      </c>
      <c r="C80" s="357"/>
      <c r="D80" s="290">
        <v>44</v>
      </c>
      <c r="E80" s="355" t="s">
        <v>107</v>
      </c>
      <c r="F80" s="355"/>
      <c r="G80" s="271"/>
      <c r="H80" s="271"/>
      <c r="I80" s="275">
        <v>351</v>
      </c>
      <c r="J80" s="359">
        <f>I80/'통장내역(환율표)'!$D$103</f>
        <v>49.237738242755789</v>
      </c>
      <c r="K80" s="271">
        <f t="shared" si="7"/>
        <v>181474.9314884741</v>
      </c>
      <c r="L80" s="271">
        <f t="shared" si="8"/>
        <v>25457.085370178629</v>
      </c>
      <c r="M80" s="355"/>
      <c r="N80" s="45">
        <f t="shared" si="6"/>
        <v>25457.088991077344</v>
      </c>
    </row>
    <row r="81" spans="1:15" s="5" customFormat="1" ht="13.5" customHeight="1">
      <c r="A81" s="352">
        <v>45102</v>
      </c>
      <c r="B81" s="321" t="s">
        <v>250</v>
      </c>
      <c r="C81" s="357"/>
      <c r="D81" s="290">
        <v>45</v>
      </c>
      <c r="E81" s="355" t="s">
        <v>107</v>
      </c>
      <c r="F81" s="355"/>
      <c r="G81" s="271"/>
      <c r="H81" s="271"/>
      <c r="I81" s="275">
        <v>3.6</v>
      </c>
      <c r="J81" s="359">
        <f>I81/'통장내역(환율표)'!$D$103</f>
        <v>0.50500244351544399</v>
      </c>
      <c r="K81" s="271">
        <f t="shared" si="7"/>
        <v>181471.3314884741</v>
      </c>
      <c r="L81" s="271">
        <f t="shared" si="8"/>
        <v>25456.580367735114</v>
      </c>
      <c r="M81" s="355"/>
      <c r="N81" s="45">
        <f t="shared" si="6"/>
        <v>25456.583988633829</v>
      </c>
    </row>
    <row r="82" spans="1:15" s="5" customFormat="1" ht="13.5" customHeight="1">
      <c r="A82" s="352">
        <v>45102</v>
      </c>
      <c r="B82" s="321" t="s">
        <v>621</v>
      </c>
      <c r="C82" s="357"/>
      <c r="D82" s="37">
        <v>46</v>
      </c>
      <c r="E82" s="355" t="s">
        <v>116</v>
      </c>
      <c r="F82" s="355" t="s">
        <v>140</v>
      </c>
      <c r="G82" s="271"/>
      <c r="H82" s="271"/>
      <c r="I82" s="275">
        <v>533.78</v>
      </c>
      <c r="J82" s="359">
        <f>I82/'통장내역(환율표)'!$D$103</f>
        <v>74.877834527687128</v>
      </c>
      <c r="K82" s="271">
        <f t="shared" si="7"/>
        <v>180937.5514884741</v>
      </c>
      <c r="L82" s="271">
        <f t="shared" si="8"/>
        <v>25381.702533207426</v>
      </c>
      <c r="M82" s="355"/>
      <c r="N82" s="45">
        <f t="shared" si="6"/>
        <v>25381.706154106141</v>
      </c>
    </row>
    <row r="83" spans="1:15" s="5" customFormat="1" ht="13.5" customHeight="1">
      <c r="A83" s="352">
        <v>45102</v>
      </c>
      <c r="B83" s="321" t="s">
        <v>443</v>
      </c>
      <c r="C83" s="357"/>
      <c r="D83" s="37">
        <v>47</v>
      </c>
      <c r="E83" s="355" t="s">
        <v>116</v>
      </c>
      <c r="F83" s="355" t="s">
        <v>140</v>
      </c>
      <c r="G83" s="271"/>
      <c r="H83" s="271"/>
      <c r="I83" s="275">
        <v>396.5</v>
      </c>
      <c r="J83" s="359">
        <f>I83/'통장내역(환율표)'!$D$103</f>
        <v>55.620408014964873</v>
      </c>
      <c r="K83" s="271">
        <f t="shared" si="7"/>
        <v>180541.0514884741</v>
      </c>
      <c r="L83" s="271">
        <f t="shared" si="8"/>
        <v>25326.082125192461</v>
      </c>
      <c r="M83" s="355"/>
      <c r="N83" s="45">
        <f t="shared" si="6"/>
        <v>25326.085746091176</v>
      </c>
    </row>
    <row r="84" spans="1:15" s="5" customFormat="1" ht="13.5" customHeight="1">
      <c r="A84" s="352">
        <v>45102</v>
      </c>
      <c r="B84" s="321" t="s">
        <v>250</v>
      </c>
      <c r="C84" s="357"/>
      <c r="D84" s="290">
        <v>48</v>
      </c>
      <c r="E84" s="355" t="s">
        <v>107</v>
      </c>
      <c r="F84" s="355"/>
      <c r="G84" s="271"/>
      <c r="H84" s="271"/>
      <c r="I84" s="275">
        <v>3.6</v>
      </c>
      <c r="J84" s="359">
        <f>I84/'통장내역(환율표)'!$D$103</f>
        <v>0.50500244351544399</v>
      </c>
      <c r="K84" s="271">
        <f t="shared" si="7"/>
        <v>180537.45148847409</v>
      </c>
      <c r="L84" s="271">
        <f t="shared" si="8"/>
        <v>25325.577122748946</v>
      </c>
      <c r="M84" s="355"/>
      <c r="N84" s="45">
        <f t="shared" si="6"/>
        <v>25325.580743647661</v>
      </c>
    </row>
    <row r="85" spans="1:15" s="5" customFormat="1" ht="13.5" customHeight="1">
      <c r="A85" s="352">
        <v>45102</v>
      </c>
      <c r="B85" s="321" t="s">
        <v>742</v>
      </c>
      <c r="C85" s="357"/>
      <c r="D85" s="290">
        <v>49</v>
      </c>
      <c r="E85" s="355" t="s">
        <v>125</v>
      </c>
      <c r="F85" s="355" t="s">
        <v>145</v>
      </c>
      <c r="G85" s="271"/>
      <c r="H85" s="271"/>
      <c r="I85" s="271">
        <v>10717.1</v>
      </c>
      <c r="J85" s="359">
        <f>I85/'통장내역(환율표)'!$D$103</f>
        <v>1503.3782464998235</v>
      </c>
      <c r="K85" s="271">
        <f t="shared" si="7"/>
        <v>169820.35148847409</v>
      </c>
      <c r="L85" s="271">
        <f t="shared" si="8"/>
        <v>23822.198876249124</v>
      </c>
      <c r="M85" s="355"/>
      <c r="N85" s="45">
        <f t="shared" si="6"/>
        <v>23822.202497147839</v>
      </c>
    </row>
    <row r="86" spans="1:15" s="5" customFormat="1" ht="13.5" customHeight="1">
      <c r="A86" s="352">
        <v>45102</v>
      </c>
      <c r="B86" s="321" t="s">
        <v>250</v>
      </c>
      <c r="C86" s="357"/>
      <c r="D86" s="290">
        <v>50</v>
      </c>
      <c r="E86" s="355" t="s">
        <v>107</v>
      </c>
      <c r="F86" s="355"/>
      <c r="G86" s="271"/>
      <c r="H86" s="271"/>
      <c r="I86" s="271">
        <v>7.2</v>
      </c>
      <c r="J86" s="359">
        <f>I86/'통장내역(환율표)'!$D$103</f>
        <v>1.010004887030888</v>
      </c>
      <c r="K86" s="271">
        <f t="shared" si="7"/>
        <v>169813.15148847408</v>
      </c>
      <c r="L86" s="271">
        <f t="shared" si="8"/>
        <v>23821.188871362094</v>
      </c>
      <c r="M86" s="355"/>
      <c r="N86" s="45">
        <f t="shared" si="6"/>
        <v>23821.192492260809</v>
      </c>
    </row>
    <row r="87" spans="1:15" s="5" customFormat="1" ht="13.5" customHeight="1">
      <c r="A87" s="352">
        <v>45102</v>
      </c>
      <c r="B87" s="321" t="s">
        <v>787</v>
      </c>
      <c r="C87" s="357"/>
      <c r="D87" s="290">
        <v>51</v>
      </c>
      <c r="E87" s="355" t="s">
        <v>146</v>
      </c>
      <c r="F87" s="355" t="s">
        <v>147</v>
      </c>
      <c r="G87" s="271"/>
      <c r="H87" s="271"/>
      <c r="I87" s="271">
        <v>1679.16</v>
      </c>
      <c r="J87" s="359">
        <f>I87/'통장내역(환율표)'!$D$103</f>
        <v>235.54997307038693</v>
      </c>
      <c r="K87" s="271">
        <f t="shared" si="7"/>
        <v>168133.99148847407</v>
      </c>
      <c r="L87" s="271">
        <f t="shared" si="8"/>
        <v>23585.638898291705</v>
      </c>
      <c r="M87" s="355"/>
      <c r="N87" s="45">
        <f t="shared" si="6"/>
        <v>23585.64251919042</v>
      </c>
    </row>
    <row r="88" spans="1:15" s="5" customFormat="1" ht="13.5" customHeight="1">
      <c r="A88" s="352">
        <v>45102</v>
      </c>
      <c r="B88" s="321" t="s">
        <v>250</v>
      </c>
      <c r="C88" s="357"/>
      <c r="D88" s="290">
        <v>52</v>
      </c>
      <c r="E88" s="355" t="s">
        <v>107</v>
      </c>
      <c r="F88" s="355"/>
      <c r="G88" s="271"/>
      <c r="H88" s="271"/>
      <c r="I88" s="271">
        <v>3.6</v>
      </c>
      <c r="J88" s="359">
        <f>I88/'통장내역(환율표)'!$D$103</f>
        <v>0.50500244351544399</v>
      </c>
      <c r="K88" s="271">
        <f t="shared" si="7"/>
        <v>168130.39148847407</v>
      </c>
      <c r="L88" s="271">
        <f t="shared" si="8"/>
        <v>23585.13389584819</v>
      </c>
      <c r="M88" s="355"/>
      <c r="N88" s="45">
        <f t="shared" si="6"/>
        <v>23585.137516746905</v>
      </c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2.7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 s="363"/>
      <c r="D103" s="36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 s="36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 s="63"/>
      <c r="D105" s="36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2.7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8" spans="1:15">
      <c r="B158" s="322"/>
    </row>
    <row r="159" spans="1:15">
      <c r="B159" s="322"/>
    </row>
  </sheetData>
  <autoFilter ref="A18:N157" xr:uid="{00000000-0009-0000-0000-000011000000}">
    <filterColumn colId="1" showButton="0"/>
  </autoFilter>
  <mergeCells count="11">
    <mergeCell ref="G17:H17"/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2:H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61A0-0D84-4FD8-8481-F3EC04748E45}">
  <sheetPr>
    <tabColor rgb="FFFFC000"/>
    <pageSetUpPr fitToPage="1"/>
  </sheetPr>
  <dimension ref="A1:O128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D36" sqref="D36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4.625" bestFit="1" customWidth="1"/>
    <col min="6" max="6" width="9.625" bestFit="1" customWidth="1"/>
    <col min="7" max="7" width="10.875" bestFit="1" customWidth="1"/>
    <col min="8" max="8" width="10" bestFit="1" customWidth="1"/>
    <col min="9" max="9" width="15.375" bestFit="1" customWidth="1"/>
    <col min="10" max="11" width="13.5" bestFit="1" customWidth="1"/>
    <col min="12" max="12" width="11.625" bestFit="1" customWidth="1"/>
    <col min="13" max="13" width="50.25" bestFit="1" customWidth="1"/>
    <col min="14" max="14" width="15.125" customWidth="1"/>
    <col min="15" max="16" width="9.625" bestFit="1" customWidth="1"/>
  </cols>
  <sheetData>
    <row r="1" spans="1:15" ht="24">
      <c r="A1" s="1" t="s">
        <v>303</v>
      </c>
      <c r="B1" s="2"/>
      <c r="C1" s="2"/>
      <c r="D1" s="3">
        <v>7000000513</v>
      </c>
      <c r="E1" s="4">
        <v>7000000512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25">
      <c r="A2" s="130" t="s">
        <v>817</v>
      </c>
      <c r="B2" s="2"/>
      <c r="C2" s="2"/>
      <c r="D2" s="119"/>
      <c r="E2" s="4">
        <v>100000404</v>
      </c>
      <c r="F2" s="119"/>
      <c r="G2" s="130" t="s">
        <v>818</v>
      </c>
      <c r="H2" s="2"/>
      <c r="I2" s="2"/>
      <c r="K2" s="4">
        <v>100000210</v>
      </c>
      <c r="L2" s="372"/>
    </row>
    <row r="3" spans="1:15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5" s="5" customFormat="1" ht="13.5">
      <c r="A4" s="114" t="s">
        <v>292</v>
      </c>
      <c r="B4" s="115"/>
      <c r="C4" s="116">
        <v>5300</v>
      </c>
      <c r="D4" s="116">
        <v>743.47581961995922</v>
      </c>
      <c r="E4" s="117">
        <v>966896</v>
      </c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5" s="5" customFormat="1" ht="13.5">
      <c r="A5" s="114" t="s">
        <v>238</v>
      </c>
      <c r="B5" s="115" t="s">
        <v>12</v>
      </c>
      <c r="C5" s="120">
        <v>24039.41</v>
      </c>
      <c r="D5" s="116">
        <v>3372.2113307415557</v>
      </c>
      <c r="E5" s="117">
        <v>4385559</v>
      </c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</row>
    <row r="6" spans="1:15" s="5" customFormat="1" ht="13.5">
      <c r="A6" s="114" t="s">
        <v>294</v>
      </c>
      <c r="B6" s="115" t="s">
        <v>14</v>
      </c>
      <c r="C6" s="116">
        <v>18148.34</v>
      </c>
      <c r="D6" s="116">
        <v>2545.8211238191871</v>
      </c>
      <c r="E6" s="117">
        <v>3310839</v>
      </c>
      <c r="F6" s="121">
        <v>51061030</v>
      </c>
      <c r="G6" s="114" t="s">
        <v>294</v>
      </c>
      <c r="H6" s="115" t="s">
        <v>14</v>
      </c>
      <c r="I6" s="116"/>
      <c r="J6" s="116"/>
      <c r="K6" s="117"/>
      <c r="L6" s="248">
        <f t="shared" ref="L6:L11" si="0">K6+E6</f>
        <v>3310839</v>
      </c>
    </row>
    <row r="7" spans="1:15" s="5" customFormat="1" ht="13.5">
      <c r="A7" s="114" t="s">
        <v>75</v>
      </c>
      <c r="B7" s="115" t="s">
        <v>16</v>
      </c>
      <c r="C7" s="116">
        <v>20023</v>
      </c>
      <c r="D7" s="116">
        <v>2808.7955351415931</v>
      </c>
      <c r="E7" s="117">
        <v>3652844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3652844</v>
      </c>
      <c r="M7" s="367">
        <v>4869534</v>
      </c>
      <c r="N7" s="248">
        <f>M7-L7</f>
        <v>1216690</v>
      </c>
      <c r="O7" s="119"/>
    </row>
    <row r="8" spans="1:15" s="5" customFormat="1" ht="13.5">
      <c r="A8" s="114" t="s">
        <v>75</v>
      </c>
      <c r="B8" s="114" t="s">
        <v>17</v>
      </c>
      <c r="C8" s="116">
        <v>10500</v>
      </c>
      <c r="D8" s="116">
        <v>1472.9237935867116</v>
      </c>
      <c r="E8" s="117">
        <v>1915532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1915532</v>
      </c>
      <c r="M8" s="367">
        <v>2830112</v>
      </c>
      <c r="N8" s="248">
        <f>M8-L8</f>
        <v>914580</v>
      </c>
      <c r="O8" s="119"/>
    </row>
    <row r="9" spans="1:15" s="5" customFormat="1" ht="13.5">
      <c r="A9" s="114" t="s">
        <v>296</v>
      </c>
      <c r="B9" s="114" t="s">
        <v>20</v>
      </c>
      <c r="C9" s="116">
        <v>496.6</v>
      </c>
      <c r="D9" s="116">
        <v>69.662281513824851</v>
      </c>
      <c r="E9" s="117">
        <v>90593</v>
      </c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0"/>
        <v>90593</v>
      </c>
      <c r="M9" s="367">
        <v>1381768</v>
      </c>
      <c r="N9" s="248">
        <f>M9-L9</f>
        <v>1291175</v>
      </c>
      <c r="O9" s="119"/>
    </row>
    <row r="10" spans="1:15" s="5" customFormat="1" ht="13.5">
      <c r="A10" s="114" t="s">
        <v>62</v>
      </c>
      <c r="B10" s="115"/>
      <c r="C10" s="116">
        <v>11430.460000000005</v>
      </c>
      <c r="D10" s="116">
        <v>1603.4472862515388</v>
      </c>
      <c r="E10" s="117">
        <v>2085287</v>
      </c>
      <c r="F10" s="121">
        <v>51321010</v>
      </c>
      <c r="G10" s="114" t="s">
        <v>62</v>
      </c>
      <c r="H10" s="115"/>
      <c r="I10" s="116"/>
      <c r="J10" s="116"/>
      <c r="K10" s="117"/>
      <c r="L10" s="248">
        <f t="shared" si="0"/>
        <v>2085287</v>
      </c>
      <c r="M10" s="367">
        <v>68260263</v>
      </c>
      <c r="N10" s="248">
        <f>M10-L10</f>
        <v>66174976</v>
      </c>
      <c r="O10" s="119"/>
    </row>
    <row r="11" spans="1:15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367"/>
      <c r="N11" s="119"/>
      <c r="O11" s="119"/>
    </row>
    <row r="12" spans="1:15" s="5" customFormat="1" ht="13.5">
      <c r="A12" s="1493" t="s">
        <v>299</v>
      </c>
      <c r="B12" s="1494"/>
      <c r="C12" s="124">
        <f>SUM(C4:C11)</f>
        <v>89937.810000000012</v>
      </c>
      <c r="D12" s="124">
        <f>SUM(D4:D11)</f>
        <v>12616.337170674371</v>
      </c>
      <c r="E12" s="125">
        <f>SUM(E4:E11)</f>
        <v>16407550</v>
      </c>
      <c r="F12" s="121">
        <v>52981010</v>
      </c>
      <c r="G12" s="1493" t="s">
        <v>299</v>
      </c>
      <c r="H12" s="1494"/>
      <c r="I12" s="124">
        <f>SUM(I4:I11)</f>
        <v>0</v>
      </c>
      <c r="J12" s="124">
        <f>SUM(J4:J11)</f>
        <v>0</v>
      </c>
      <c r="K12" s="125">
        <f>SUM(K4:K11)</f>
        <v>0</v>
      </c>
      <c r="L12" s="119"/>
      <c r="M12" s="119"/>
      <c r="N12" s="119"/>
      <c r="O12" s="119"/>
    </row>
    <row r="13" spans="1:15" s="5" customFormat="1" ht="14.25" customHeight="1">
      <c r="A13" s="126"/>
      <c r="B13" s="315"/>
      <c r="C13" s="316">
        <f>C12+I12</f>
        <v>89937.810000000012</v>
      </c>
      <c r="D13" s="316">
        <f>D12+J12</f>
        <v>12616.337170674371</v>
      </c>
      <c r="E13" s="317">
        <f>E12+K12</f>
        <v>16407550</v>
      </c>
      <c r="F13" s="386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.5">
      <c r="A14" s="126" t="s">
        <v>815</v>
      </c>
      <c r="B14" s="315"/>
      <c r="C14" s="316">
        <v>78190.58</v>
      </c>
      <c r="D14" s="316">
        <v>743.47581961995922</v>
      </c>
      <c r="E14" s="317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5" s="5" customFormat="1" ht="13.5">
      <c r="A15" s="126"/>
      <c r="B15" s="315"/>
      <c r="C15" s="316">
        <f>SUM(C13:C14)</f>
        <v>168128.39</v>
      </c>
      <c r="D15" s="316">
        <f>SUM(D13:D14)</f>
        <v>13359.812990294331</v>
      </c>
      <c r="F15" s="385"/>
      <c r="G15" s="130"/>
      <c r="H15" s="130"/>
      <c r="I15" s="131"/>
      <c r="J15" s="130"/>
      <c r="K15" s="288"/>
      <c r="L15" s="253"/>
      <c r="N15" s="45"/>
    </row>
    <row r="16" spans="1:15" s="5" customFormat="1" ht="13.5">
      <c r="G16" s="6"/>
      <c r="H16" s="137"/>
      <c r="I16" s="137">
        <f>SUBTOTAL(9,I19:I137)</f>
        <v>168130.39</v>
      </c>
      <c r="J16" s="137">
        <f>SUBTOTAL(9,J19:J135)</f>
        <v>23585.131605334602</v>
      </c>
      <c r="K16" s="132"/>
      <c r="L16" s="45"/>
    </row>
    <row r="17" spans="1:15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5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5" s="5" customFormat="1" ht="13.5" customHeight="1">
      <c r="A19" s="237">
        <v>45107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168130.39148847412</v>
      </c>
      <c r="L19" s="241">
        <v>23585.13389584819</v>
      </c>
      <c r="M19" s="240"/>
      <c r="N19" s="45">
        <v>23585.13</v>
      </c>
    </row>
    <row r="20" spans="1:15" s="5" customFormat="1" ht="13.5" customHeight="1">
      <c r="A20" s="263">
        <v>45128</v>
      </c>
      <c r="B20" s="373" t="s">
        <v>346</v>
      </c>
      <c r="C20" s="291"/>
      <c r="D20" s="290">
        <v>1</v>
      </c>
      <c r="E20" s="37" t="s">
        <v>105</v>
      </c>
      <c r="F20" s="355" t="s">
        <v>227</v>
      </c>
      <c r="G20" s="374"/>
      <c r="H20" s="291"/>
      <c r="I20" s="341">
        <v>10500</v>
      </c>
      <c r="J20" s="359">
        <f>I20/'통장내역(환율표)'!$D$103</f>
        <v>1472.9237935867116</v>
      </c>
      <c r="K20" s="271">
        <f>K19+G20-I20</f>
        <v>157630.39148847412</v>
      </c>
      <c r="L20" s="271">
        <f>L19+H20-J20</f>
        <v>22112.210102261477</v>
      </c>
      <c r="M20" s="291"/>
      <c r="N20" s="45">
        <f>N19-J20</f>
        <v>22112.206206413288</v>
      </c>
    </row>
    <row r="21" spans="1:15" s="5" customFormat="1" ht="13.5" customHeight="1">
      <c r="A21" s="263">
        <v>45128</v>
      </c>
      <c r="B21" s="373" t="s">
        <v>347</v>
      </c>
      <c r="C21" s="291"/>
      <c r="D21" s="290">
        <v>2</v>
      </c>
      <c r="E21" s="37" t="s">
        <v>107</v>
      </c>
      <c r="F21" s="355"/>
      <c r="G21" s="374"/>
      <c r="H21" s="291"/>
      <c r="I21" s="341">
        <v>6000</v>
      </c>
      <c r="J21" s="359">
        <f>I21/'통장내역(환율표)'!$D$103</f>
        <v>841.67073919240659</v>
      </c>
      <c r="K21" s="271">
        <f t="shared" ref="K21:K55" si="1">K20+G21-I21</f>
        <v>151630.39148847412</v>
      </c>
      <c r="L21" s="271">
        <f t="shared" ref="L21:L55" si="2">L20+H21-J21</f>
        <v>21270.539363069071</v>
      </c>
      <c r="M21" s="291"/>
      <c r="N21" s="45">
        <f t="shared" ref="N21:N55" si="3">N20-J21</f>
        <v>21270.535467220881</v>
      </c>
      <c r="O21" s="119"/>
    </row>
    <row r="22" spans="1:15" s="5" customFormat="1" ht="13.5" customHeight="1">
      <c r="A22" s="263">
        <v>45128</v>
      </c>
      <c r="B22" s="373" t="s">
        <v>780</v>
      </c>
      <c r="C22" s="291"/>
      <c r="D22" s="290">
        <v>3</v>
      </c>
      <c r="E22" s="37" t="s">
        <v>107</v>
      </c>
      <c r="F22" s="355"/>
      <c r="G22" s="374"/>
      <c r="H22" s="291"/>
      <c r="I22" s="341">
        <v>1240</v>
      </c>
      <c r="J22" s="359">
        <f>I22/'통장내역(환율표)'!$D$103</f>
        <v>173.94528609976405</v>
      </c>
      <c r="K22" s="271">
        <f t="shared" si="1"/>
        <v>150390.39148847412</v>
      </c>
      <c r="L22" s="271">
        <f t="shared" si="2"/>
        <v>21096.594076969308</v>
      </c>
      <c r="M22" s="291"/>
      <c r="N22" s="45">
        <f t="shared" si="3"/>
        <v>21096.590181121119</v>
      </c>
      <c r="O22" s="253"/>
    </row>
    <row r="23" spans="1:15" s="5" customFormat="1" ht="13.5" customHeight="1">
      <c r="A23" s="263">
        <v>45128</v>
      </c>
      <c r="B23" s="373" t="s">
        <v>250</v>
      </c>
      <c r="C23" s="291"/>
      <c r="D23" s="290">
        <v>4</v>
      </c>
      <c r="E23" s="37" t="s">
        <v>107</v>
      </c>
      <c r="F23" s="355"/>
      <c r="G23" s="374"/>
      <c r="H23" s="291"/>
      <c r="I23" s="341">
        <v>7.2</v>
      </c>
      <c r="J23" s="359">
        <f>I23/'통장내역(환율표)'!$D$103</f>
        <v>1.010004887030888</v>
      </c>
      <c r="K23" s="271">
        <f t="shared" si="1"/>
        <v>150383.19148847411</v>
      </c>
      <c r="L23" s="271">
        <f t="shared" si="2"/>
        <v>21095.584072082278</v>
      </c>
      <c r="M23" s="291"/>
      <c r="N23" s="45">
        <f t="shared" si="3"/>
        <v>21095.580176234089</v>
      </c>
      <c r="O23" s="119"/>
    </row>
    <row r="24" spans="1:15" s="5" customFormat="1" ht="13.5" customHeight="1">
      <c r="A24" s="263">
        <v>45128</v>
      </c>
      <c r="B24" s="373" t="s">
        <v>660</v>
      </c>
      <c r="C24" s="291"/>
      <c r="D24" s="290">
        <v>5</v>
      </c>
      <c r="E24" s="37" t="s">
        <v>107</v>
      </c>
      <c r="F24" s="355"/>
      <c r="G24" s="374"/>
      <c r="H24" s="291"/>
      <c r="I24" s="341">
        <v>984.5</v>
      </c>
      <c r="J24" s="359">
        <f>I24/'통장내역(환율표)'!$D$103</f>
        <v>138.10414045582073</v>
      </c>
      <c r="K24" s="271">
        <f t="shared" si="1"/>
        <v>149398.69148847411</v>
      </c>
      <c r="L24" s="271">
        <f t="shared" si="2"/>
        <v>20957.479931626458</v>
      </c>
      <c r="M24" s="291" t="s">
        <v>699</v>
      </c>
      <c r="N24" s="45">
        <f t="shared" si="3"/>
        <v>20957.476035778269</v>
      </c>
    </row>
    <row r="25" spans="1:15" s="5" customFormat="1" ht="13.5" customHeight="1">
      <c r="A25" s="263">
        <v>45128</v>
      </c>
      <c r="B25" s="373" t="s">
        <v>250</v>
      </c>
      <c r="C25" s="291"/>
      <c r="D25" s="290">
        <v>6</v>
      </c>
      <c r="E25" s="37" t="s">
        <v>107</v>
      </c>
      <c r="F25" s="355"/>
      <c r="G25" s="374"/>
      <c r="H25" s="291"/>
      <c r="I25" s="341">
        <v>3.6</v>
      </c>
      <c r="J25" s="359">
        <f>I25/'통장내역(환율표)'!$D$103</f>
        <v>0.50500244351544399</v>
      </c>
      <c r="K25" s="271">
        <f t="shared" si="1"/>
        <v>149395.09148847411</v>
      </c>
      <c r="L25" s="271">
        <f t="shared" si="2"/>
        <v>20956.974929182943</v>
      </c>
      <c r="M25" s="291"/>
      <c r="N25" s="45">
        <f t="shared" si="3"/>
        <v>20956.971033334754</v>
      </c>
    </row>
    <row r="26" spans="1:15" s="5" customFormat="1" ht="13.5" customHeight="1">
      <c r="A26" s="263">
        <v>45128</v>
      </c>
      <c r="B26" s="373" t="s">
        <v>668</v>
      </c>
      <c r="C26" s="291"/>
      <c r="D26" s="290">
        <v>7</v>
      </c>
      <c r="E26" s="37" t="s">
        <v>294</v>
      </c>
      <c r="F26" s="355" t="s">
        <v>322</v>
      </c>
      <c r="G26" s="374"/>
      <c r="H26" s="291"/>
      <c r="I26" s="341">
        <v>3319.8</v>
      </c>
      <c r="J26" s="359">
        <f>I26/'통장내역(환율표)'!$D$103</f>
        <v>465.69641999515864</v>
      </c>
      <c r="K26" s="271">
        <f t="shared" si="1"/>
        <v>146075.29148847412</v>
      </c>
      <c r="L26" s="271">
        <f t="shared" si="2"/>
        <v>20491.278509187785</v>
      </c>
      <c r="M26" s="291"/>
      <c r="N26" s="45">
        <f t="shared" si="3"/>
        <v>20491.274613339596</v>
      </c>
    </row>
    <row r="27" spans="1:15" s="5" customFormat="1" ht="13.5" customHeight="1">
      <c r="A27" s="263">
        <v>45128</v>
      </c>
      <c r="B27" s="373" t="s">
        <v>669</v>
      </c>
      <c r="C27" s="291"/>
      <c r="D27" s="290">
        <v>8</v>
      </c>
      <c r="E27" s="37" t="s">
        <v>294</v>
      </c>
      <c r="F27" s="355" t="s">
        <v>322</v>
      </c>
      <c r="G27" s="374"/>
      <c r="H27" s="291"/>
      <c r="I27" s="341">
        <v>649</v>
      </c>
      <c r="J27" s="359">
        <f>I27/'통장내역(환율표)'!$D$103</f>
        <v>91.040718289311982</v>
      </c>
      <c r="K27" s="271">
        <f t="shared" si="1"/>
        <v>145426.29148847412</v>
      </c>
      <c r="L27" s="271">
        <f t="shared" si="2"/>
        <v>20400.237790898474</v>
      </c>
      <c r="M27" s="291" t="s">
        <v>801</v>
      </c>
      <c r="N27" s="45">
        <f t="shared" si="3"/>
        <v>20400.233895050285</v>
      </c>
    </row>
    <row r="28" spans="1:15" s="5" customFormat="1" ht="13.5" customHeight="1">
      <c r="A28" s="263">
        <v>45128</v>
      </c>
      <c r="B28" s="373" t="s">
        <v>813</v>
      </c>
      <c r="C28" s="291"/>
      <c r="D28" s="290">
        <v>8</v>
      </c>
      <c r="E28" s="37" t="s">
        <v>813</v>
      </c>
      <c r="F28" s="355"/>
      <c r="G28" s="374"/>
      <c r="H28" s="291"/>
      <c r="I28" s="341">
        <v>2</v>
      </c>
      <c r="J28" s="359">
        <f>I28/'통장내역(환율표)'!$D$103</f>
        <v>0.28055691306413555</v>
      </c>
      <c r="K28" s="271">
        <f>K29+G28-I28</f>
        <v>144261.29148847412</v>
      </c>
      <c r="L28" s="271">
        <f>L29+H28-J28</f>
        <v>20236.813389038616</v>
      </c>
      <c r="M28" s="291" t="s">
        <v>821</v>
      </c>
      <c r="N28" s="45">
        <f>N29-J28</f>
        <v>20236.809493190427</v>
      </c>
    </row>
    <row r="29" spans="1:15" s="5" customFormat="1" ht="13.5" customHeight="1">
      <c r="A29" s="263">
        <v>45128</v>
      </c>
      <c r="B29" s="373" t="s">
        <v>667</v>
      </c>
      <c r="C29" s="291"/>
      <c r="D29" s="290">
        <v>9</v>
      </c>
      <c r="E29" s="37" t="s">
        <v>294</v>
      </c>
      <c r="F29" s="355" t="s">
        <v>322</v>
      </c>
      <c r="G29" s="374"/>
      <c r="H29" s="291"/>
      <c r="I29" s="341">
        <v>1163</v>
      </c>
      <c r="J29" s="359">
        <f>I29/'통장내역(환율표)'!$D$103</f>
        <v>163.14384494679481</v>
      </c>
      <c r="K29" s="271">
        <f>K27+G29-I29</f>
        <v>144263.29148847412</v>
      </c>
      <c r="L29" s="271">
        <f>L27+H29-J29</f>
        <v>20237.093945951681</v>
      </c>
      <c r="M29" s="291"/>
      <c r="N29" s="45">
        <f>N27-J29</f>
        <v>20237.090050103492</v>
      </c>
    </row>
    <row r="30" spans="1:15" s="5" customFormat="1" ht="13.5" customHeight="1">
      <c r="A30" s="263">
        <v>45128</v>
      </c>
      <c r="B30" s="373" t="s">
        <v>250</v>
      </c>
      <c r="C30" s="291"/>
      <c r="D30" s="290">
        <v>10</v>
      </c>
      <c r="E30" s="37" t="s">
        <v>107</v>
      </c>
      <c r="F30" s="355"/>
      <c r="G30" s="374"/>
      <c r="H30" s="291"/>
      <c r="I30" s="341">
        <v>3.6</v>
      </c>
      <c r="J30" s="359">
        <f>I30/'통장내역(환율표)'!$D$103</f>
        <v>0.50500244351544399</v>
      </c>
      <c r="K30" s="271">
        <f>K28+G30-I30</f>
        <v>144257.69148847411</v>
      </c>
      <c r="L30" s="271">
        <f>L28+H30-J30</f>
        <v>20236.308386595101</v>
      </c>
      <c r="M30" s="291"/>
      <c r="N30" s="45">
        <f>N28-J30</f>
        <v>20236.304490746912</v>
      </c>
    </row>
    <row r="31" spans="1:15" s="5" customFormat="1" ht="13.5" customHeight="1">
      <c r="A31" s="263">
        <v>45128</v>
      </c>
      <c r="B31" s="373" t="s">
        <v>782</v>
      </c>
      <c r="C31" s="291"/>
      <c r="D31" s="290">
        <v>11</v>
      </c>
      <c r="E31" s="37" t="s">
        <v>296</v>
      </c>
      <c r="F31" s="355" t="s">
        <v>327</v>
      </c>
      <c r="G31" s="374"/>
      <c r="H31" s="291"/>
      <c r="I31" s="277">
        <v>99.1</v>
      </c>
      <c r="J31" s="359">
        <f>I31/'통장내역(환율표)'!$D$103</f>
        <v>13.901595042327916</v>
      </c>
      <c r="K31" s="271">
        <f t="shared" si="1"/>
        <v>144158.59148847411</v>
      </c>
      <c r="L31" s="271">
        <f t="shared" si="2"/>
        <v>20222.406791552774</v>
      </c>
      <c r="M31" s="291"/>
      <c r="N31" s="45">
        <f t="shared" si="3"/>
        <v>20222.402895704585</v>
      </c>
    </row>
    <row r="32" spans="1:15" s="5" customFormat="1" ht="13.5" customHeight="1">
      <c r="A32" s="263">
        <v>45128</v>
      </c>
      <c r="B32" s="373" t="s">
        <v>802</v>
      </c>
      <c r="C32" s="291"/>
      <c r="D32" s="290">
        <v>12</v>
      </c>
      <c r="E32" s="37" t="s">
        <v>238</v>
      </c>
      <c r="F32" s="355" t="s">
        <v>324</v>
      </c>
      <c r="G32" s="374"/>
      <c r="H32" s="291"/>
      <c r="I32" s="277">
        <v>386.8</v>
      </c>
      <c r="J32" s="359">
        <f>I32/'통장내역(환율표)'!$D$103</f>
        <v>54.259706986603817</v>
      </c>
      <c r="K32" s="271">
        <f t="shared" si="1"/>
        <v>143771.79148847412</v>
      </c>
      <c r="L32" s="271">
        <f t="shared" si="2"/>
        <v>20168.147084566172</v>
      </c>
      <c r="M32" s="291"/>
      <c r="N32" s="45">
        <f t="shared" si="3"/>
        <v>20168.143188717982</v>
      </c>
    </row>
    <row r="33" spans="1:14" s="5" customFormat="1" ht="13.5" customHeight="1">
      <c r="A33" s="263">
        <v>45128</v>
      </c>
      <c r="B33" s="373" t="s">
        <v>803</v>
      </c>
      <c r="C33" s="291"/>
      <c r="D33" s="290">
        <v>13</v>
      </c>
      <c r="E33" s="37" t="s">
        <v>294</v>
      </c>
      <c r="F33" s="355" t="s">
        <v>322</v>
      </c>
      <c r="G33" s="374"/>
      <c r="H33" s="291"/>
      <c r="I33" s="277">
        <v>4748</v>
      </c>
      <c r="J33" s="359">
        <f>I33/'통장내역(환율표)'!$D$103</f>
        <v>666.04211161425781</v>
      </c>
      <c r="K33" s="271">
        <f t="shared" si="1"/>
        <v>139023.79148847412</v>
      </c>
      <c r="L33" s="271">
        <f t="shared" si="2"/>
        <v>19502.104972951915</v>
      </c>
      <c r="M33" s="291"/>
      <c r="N33" s="45">
        <f t="shared" si="3"/>
        <v>19502.101077103725</v>
      </c>
    </row>
    <row r="34" spans="1:14" s="5" customFormat="1" ht="13.5" customHeight="1">
      <c r="A34" s="263">
        <v>45128</v>
      </c>
      <c r="B34" s="373" t="s">
        <v>783</v>
      </c>
      <c r="C34" s="291"/>
      <c r="D34" s="290">
        <v>14</v>
      </c>
      <c r="E34" s="37" t="s">
        <v>107</v>
      </c>
      <c r="F34" s="355"/>
      <c r="G34" s="374"/>
      <c r="H34" s="291"/>
      <c r="I34" s="277">
        <v>1275</v>
      </c>
      <c r="J34" s="359">
        <f>I34/'통장내역(환율표)'!$D$103</f>
        <v>178.85503207838642</v>
      </c>
      <c r="K34" s="271">
        <f t="shared" si="1"/>
        <v>137748.79148847412</v>
      </c>
      <c r="L34" s="271">
        <f t="shared" si="2"/>
        <v>19323.249940873528</v>
      </c>
      <c r="M34" s="291"/>
      <c r="N34" s="45">
        <f t="shared" si="3"/>
        <v>19323.246045025338</v>
      </c>
    </row>
    <row r="35" spans="1:14" s="5" customFormat="1" ht="13.5" customHeight="1">
      <c r="A35" s="263">
        <v>45128</v>
      </c>
      <c r="B35" s="373" t="s">
        <v>781</v>
      </c>
      <c r="C35" s="291"/>
      <c r="D35" s="290">
        <v>15</v>
      </c>
      <c r="E35" s="37" t="s">
        <v>294</v>
      </c>
      <c r="F35" s="355" t="s">
        <v>322</v>
      </c>
      <c r="G35" s="374"/>
      <c r="H35" s="291"/>
      <c r="I35" s="277">
        <v>1872.34</v>
      </c>
      <c r="J35" s="359">
        <f>I35/'통장내역(환율표)'!$D$103</f>
        <v>262.64896530325177</v>
      </c>
      <c r="K35" s="271">
        <f t="shared" si="1"/>
        <v>135876.45148847412</v>
      </c>
      <c r="L35" s="271">
        <f t="shared" si="2"/>
        <v>19060.600975570276</v>
      </c>
      <c r="M35" s="291"/>
      <c r="N35" s="45">
        <f t="shared" si="3"/>
        <v>19060.597079722087</v>
      </c>
    </row>
    <row r="36" spans="1:14" s="5" customFormat="1" ht="13.5" customHeight="1">
      <c r="A36" s="263">
        <v>45128</v>
      </c>
      <c r="B36" s="373" t="s">
        <v>250</v>
      </c>
      <c r="C36" s="291"/>
      <c r="D36" s="290">
        <v>16</v>
      </c>
      <c r="E36" s="37" t="s">
        <v>107</v>
      </c>
      <c r="F36" s="355"/>
      <c r="G36" s="374"/>
      <c r="H36" s="291"/>
      <c r="I36" s="277">
        <v>3.6</v>
      </c>
      <c r="J36" s="359">
        <f>I36/'통장내역(환율표)'!$D$103</f>
        <v>0.50500244351544399</v>
      </c>
      <c r="K36" s="271">
        <f t="shared" si="1"/>
        <v>135872.85148847412</v>
      </c>
      <c r="L36" s="271">
        <f t="shared" si="2"/>
        <v>19060.095973126761</v>
      </c>
      <c r="M36" s="291"/>
      <c r="N36" s="45">
        <f t="shared" si="3"/>
        <v>19060.092077278572</v>
      </c>
    </row>
    <row r="37" spans="1:14" s="5" customFormat="1" ht="13.5" customHeight="1">
      <c r="A37" s="263">
        <v>45128</v>
      </c>
      <c r="B37" s="373" t="s">
        <v>789</v>
      </c>
      <c r="C37" s="291"/>
      <c r="D37" s="290">
        <v>17</v>
      </c>
      <c r="E37" s="37" t="s">
        <v>107</v>
      </c>
      <c r="F37" s="355"/>
      <c r="G37" s="374"/>
      <c r="H37" s="291"/>
      <c r="I37" s="277">
        <v>1010</v>
      </c>
      <c r="J37" s="359">
        <f>I37/'통장내역(환율표)'!$D$103</f>
        <v>141.68124109738844</v>
      </c>
      <c r="K37" s="271">
        <f t="shared" si="1"/>
        <v>134862.85148847412</v>
      </c>
      <c r="L37" s="271">
        <f t="shared" si="2"/>
        <v>18918.414732029374</v>
      </c>
      <c r="M37" s="291" t="s">
        <v>700</v>
      </c>
      <c r="N37" s="45">
        <f t="shared" si="3"/>
        <v>18918.410836181185</v>
      </c>
    </row>
    <row r="38" spans="1:14" s="5" customFormat="1" ht="13.5" customHeight="1">
      <c r="A38" s="263">
        <v>45128</v>
      </c>
      <c r="B38" s="373" t="s">
        <v>250</v>
      </c>
      <c r="C38" s="291"/>
      <c r="D38" s="290">
        <v>18</v>
      </c>
      <c r="E38" s="37" t="s">
        <v>107</v>
      </c>
      <c r="F38" s="355"/>
      <c r="G38" s="374"/>
      <c r="H38" s="291"/>
      <c r="I38" s="277">
        <v>3.6</v>
      </c>
      <c r="J38" s="359">
        <f>I38/'통장내역(환율표)'!$D$103</f>
        <v>0.50500244351544399</v>
      </c>
      <c r="K38" s="271">
        <f t="shared" si="1"/>
        <v>134859.25148847411</v>
      </c>
      <c r="L38" s="271">
        <f t="shared" si="2"/>
        <v>18917.909729585859</v>
      </c>
      <c r="M38" s="291"/>
      <c r="N38" s="45">
        <f t="shared" si="3"/>
        <v>18917.90583373767</v>
      </c>
    </row>
    <row r="39" spans="1:14" s="5" customFormat="1" ht="13.5" customHeight="1">
      <c r="A39" s="263">
        <v>45128</v>
      </c>
      <c r="B39" s="373" t="s">
        <v>460</v>
      </c>
      <c r="C39" s="291"/>
      <c r="D39" s="290">
        <v>19</v>
      </c>
      <c r="E39" s="37" t="s">
        <v>75</v>
      </c>
      <c r="F39" s="355" t="s">
        <v>814</v>
      </c>
      <c r="G39" s="374"/>
      <c r="H39" s="291"/>
      <c r="I39" s="275">
        <v>20023</v>
      </c>
      <c r="J39" s="359">
        <f>I39/'통장내역(환율표)'!$D$103</f>
        <v>2808.7955351415931</v>
      </c>
      <c r="K39" s="271">
        <f t="shared" si="1"/>
        <v>114836.25148847411</v>
      </c>
      <c r="L39" s="271">
        <f t="shared" si="2"/>
        <v>16109.114194444266</v>
      </c>
      <c r="M39" s="291" t="s">
        <v>240</v>
      </c>
      <c r="N39" s="45">
        <f t="shared" si="3"/>
        <v>16109.110298596077</v>
      </c>
    </row>
    <row r="40" spans="1:14" s="5" customFormat="1" ht="13.5" customHeight="1">
      <c r="A40" s="263">
        <v>45128</v>
      </c>
      <c r="B40" s="373" t="s">
        <v>250</v>
      </c>
      <c r="C40" s="291"/>
      <c r="D40" s="290">
        <v>20</v>
      </c>
      <c r="E40" s="37" t="s">
        <v>107</v>
      </c>
      <c r="F40" s="355"/>
      <c r="G40" s="374"/>
      <c r="H40" s="291"/>
      <c r="I40" s="275">
        <v>7.2</v>
      </c>
      <c r="J40" s="359">
        <f>I40/'통장내역(환율표)'!$D$103</f>
        <v>1.010004887030888</v>
      </c>
      <c r="K40" s="271">
        <f t="shared" si="1"/>
        <v>114829.05148847411</v>
      </c>
      <c r="L40" s="271">
        <f t="shared" si="2"/>
        <v>16108.104189557234</v>
      </c>
      <c r="M40" s="291"/>
      <c r="N40" s="45">
        <f t="shared" si="3"/>
        <v>16108.100293709045</v>
      </c>
    </row>
    <row r="41" spans="1:14" s="5" customFormat="1" ht="13.5" customHeight="1">
      <c r="A41" s="263">
        <v>45128</v>
      </c>
      <c r="B41" s="373" t="s">
        <v>806</v>
      </c>
      <c r="C41" s="291"/>
      <c r="D41" s="290">
        <v>21</v>
      </c>
      <c r="E41" s="37" t="s">
        <v>294</v>
      </c>
      <c r="F41" s="355" t="s">
        <v>322</v>
      </c>
      <c r="G41" s="374"/>
      <c r="H41" s="291"/>
      <c r="I41" s="342">
        <v>893.9</v>
      </c>
      <c r="J41" s="359">
        <f>I41/'통장내역(환율표)'!$D$103</f>
        <v>125.39491229401538</v>
      </c>
      <c r="K41" s="271">
        <f t="shared" si="1"/>
        <v>113935.15148847412</v>
      </c>
      <c r="L41" s="271">
        <f t="shared" si="2"/>
        <v>15982.709277263219</v>
      </c>
      <c r="M41" s="291" t="s">
        <v>795</v>
      </c>
      <c r="N41" s="45">
        <f t="shared" si="3"/>
        <v>15982.705381415029</v>
      </c>
    </row>
    <row r="42" spans="1:14" s="5" customFormat="1" ht="13.5" customHeight="1">
      <c r="A42" s="263">
        <v>45128</v>
      </c>
      <c r="B42" s="373" t="s">
        <v>250</v>
      </c>
      <c r="C42" s="291"/>
      <c r="D42" s="290">
        <v>22</v>
      </c>
      <c r="E42" s="37" t="s">
        <v>107</v>
      </c>
      <c r="F42" s="355"/>
      <c r="G42" s="374"/>
      <c r="H42" s="291"/>
      <c r="I42" s="277">
        <v>3.6</v>
      </c>
      <c r="J42" s="359">
        <f>I42/'통장내역(환율표)'!$D$103</f>
        <v>0.50500244351544399</v>
      </c>
      <c r="K42" s="271">
        <f t="shared" si="1"/>
        <v>113931.55148847411</v>
      </c>
      <c r="L42" s="271">
        <f t="shared" si="2"/>
        <v>15982.204274819704</v>
      </c>
      <c r="M42" s="291"/>
      <c r="N42" s="45">
        <f t="shared" si="3"/>
        <v>15982.200378971515</v>
      </c>
    </row>
    <row r="43" spans="1:14" s="7" customFormat="1" ht="13.5" customHeight="1">
      <c r="A43" s="263">
        <v>45128</v>
      </c>
      <c r="B43" s="373" t="s">
        <v>807</v>
      </c>
      <c r="C43" s="291"/>
      <c r="D43" s="291">
        <v>23</v>
      </c>
      <c r="E43" s="37" t="s">
        <v>238</v>
      </c>
      <c r="F43" s="355" t="s">
        <v>324</v>
      </c>
      <c r="G43" s="374"/>
      <c r="H43" s="291"/>
      <c r="I43" s="277">
        <v>9377</v>
      </c>
      <c r="J43" s="359">
        <f>I43/'통장내역(환율표)'!$D$103</f>
        <v>1315.3910869011995</v>
      </c>
      <c r="K43" s="271">
        <f t="shared" si="1"/>
        <v>104554.55148847411</v>
      </c>
      <c r="L43" s="271">
        <f t="shared" si="2"/>
        <v>14666.813187918504</v>
      </c>
      <c r="M43" s="291" t="s">
        <v>702</v>
      </c>
      <c r="N43" s="45">
        <f t="shared" si="3"/>
        <v>14666.809292070315</v>
      </c>
    </row>
    <row r="44" spans="1:14" s="7" customFormat="1" ht="13.5" customHeight="1">
      <c r="A44" s="263">
        <v>45128</v>
      </c>
      <c r="B44" s="373" t="s">
        <v>250</v>
      </c>
      <c r="C44" s="291"/>
      <c r="D44" s="291">
        <v>24</v>
      </c>
      <c r="E44" s="37" t="s">
        <v>107</v>
      </c>
      <c r="F44" s="369"/>
      <c r="G44" s="374"/>
      <c r="H44" s="291"/>
      <c r="I44" s="277">
        <v>3.6</v>
      </c>
      <c r="J44" s="359">
        <f>I44/'통장내역(환율표)'!$D$103</f>
        <v>0.50500244351544399</v>
      </c>
      <c r="K44" s="271">
        <f t="shared" si="1"/>
        <v>104550.95148847411</v>
      </c>
      <c r="L44" s="271">
        <f t="shared" si="2"/>
        <v>14666.308185474989</v>
      </c>
      <c r="M44" s="291"/>
      <c r="N44" s="45">
        <f t="shared" si="3"/>
        <v>14666.3042896268</v>
      </c>
    </row>
    <row r="45" spans="1:14" s="5" customFormat="1" ht="13.5" customHeight="1">
      <c r="A45" s="263">
        <v>45128</v>
      </c>
      <c r="B45" s="373" t="s">
        <v>808</v>
      </c>
      <c r="C45" s="291"/>
      <c r="D45" s="291">
        <v>25</v>
      </c>
      <c r="E45" s="37" t="s">
        <v>294</v>
      </c>
      <c r="F45" s="355" t="s">
        <v>322</v>
      </c>
      <c r="G45" s="374"/>
      <c r="H45" s="291"/>
      <c r="I45" s="277">
        <v>5502.3</v>
      </c>
      <c r="J45" s="359">
        <f>I45/'통장내역(환율표)'!$D$103</f>
        <v>771.85415137639654</v>
      </c>
      <c r="K45" s="271">
        <f t="shared" si="1"/>
        <v>99048.651488474105</v>
      </c>
      <c r="L45" s="271">
        <f t="shared" si="2"/>
        <v>13894.454034098593</v>
      </c>
      <c r="M45" s="291" t="s">
        <v>796</v>
      </c>
      <c r="N45" s="45">
        <f t="shared" si="3"/>
        <v>13894.450138250404</v>
      </c>
    </row>
    <row r="46" spans="1:14" s="5" customFormat="1" ht="13.5" customHeight="1">
      <c r="A46" s="263">
        <v>45128</v>
      </c>
      <c r="B46" s="373" t="s">
        <v>250</v>
      </c>
      <c r="C46" s="291"/>
      <c r="D46" s="291">
        <v>26</v>
      </c>
      <c r="E46" s="37" t="s">
        <v>107</v>
      </c>
      <c r="F46" s="355"/>
      <c r="G46" s="374"/>
      <c r="H46" s="291"/>
      <c r="I46" s="277">
        <v>3.6</v>
      </c>
      <c r="J46" s="359">
        <f>I46/'통장내역(환율표)'!$D$103</f>
        <v>0.50500244351544399</v>
      </c>
      <c r="K46" s="271">
        <f t="shared" si="1"/>
        <v>99045.051488474099</v>
      </c>
      <c r="L46" s="271">
        <f t="shared" si="2"/>
        <v>13893.949031655078</v>
      </c>
      <c r="M46" s="291"/>
      <c r="N46" s="45">
        <f t="shared" si="3"/>
        <v>13893.945135806889</v>
      </c>
    </row>
    <row r="47" spans="1:14" s="5" customFormat="1" ht="13.5" customHeight="1">
      <c r="A47" s="263">
        <v>45128</v>
      </c>
      <c r="B47" s="373" t="s">
        <v>255</v>
      </c>
      <c r="C47" s="291"/>
      <c r="D47" s="291">
        <v>27</v>
      </c>
      <c r="E47" s="37" t="s">
        <v>107</v>
      </c>
      <c r="F47" s="355"/>
      <c r="G47" s="374"/>
      <c r="H47" s="291"/>
      <c r="I47" s="277">
        <v>356.96</v>
      </c>
      <c r="J47" s="359">
        <f>I47/'통장내역(환율표)'!$D$103</f>
        <v>50.073797843686911</v>
      </c>
      <c r="K47" s="271">
        <f t="shared" si="1"/>
        <v>98688.091488474092</v>
      </c>
      <c r="L47" s="271">
        <f t="shared" si="2"/>
        <v>13843.875233811392</v>
      </c>
      <c r="M47" s="291"/>
      <c r="N47" s="45">
        <f t="shared" si="3"/>
        <v>13843.871337963203</v>
      </c>
    </row>
    <row r="48" spans="1:14" s="5" customFormat="1" ht="13.5" customHeight="1">
      <c r="A48" s="263">
        <v>45128</v>
      </c>
      <c r="B48" s="373" t="s">
        <v>804</v>
      </c>
      <c r="C48" s="291"/>
      <c r="D48" s="291">
        <v>28</v>
      </c>
      <c r="E48" s="37" t="s">
        <v>107</v>
      </c>
      <c r="F48" s="355"/>
      <c r="G48" s="374"/>
      <c r="H48" s="291"/>
      <c r="I48" s="277">
        <v>210</v>
      </c>
      <c r="J48" s="359">
        <f>I48/'통장내역(환율표)'!$D$103</f>
        <v>29.458475871734233</v>
      </c>
      <c r="K48" s="271">
        <f t="shared" si="1"/>
        <v>98478.091488474092</v>
      </c>
      <c r="L48" s="271">
        <f t="shared" si="2"/>
        <v>13814.416757939658</v>
      </c>
      <c r="M48" s="291"/>
      <c r="N48" s="45">
        <f t="shared" si="3"/>
        <v>13814.412862091469</v>
      </c>
    </row>
    <row r="49" spans="1:15" s="5" customFormat="1" ht="13.5" customHeight="1">
      <c r="A49" s="263">
        <v>45128</v>
      </c>
      <c r="B49" s="373" t="s">
        <v>805</v>
      </c>
      <c r="C49" s="291"/>
      <c r="D49" s="291">
        <v>29</v>
      </c>
      <c r="E49" s="37" t="s">
        <v>107</v>
      </c>
      <c r="F49" s="355"/>
      <c r="G49" s="374"/>
      <c r="H49" s="291"/>
      <c r="I49" s="277">
        <v>300</v>
      </c>
      <c r="J49" s="359">
        <f>I49/'통장내역(환율표)'!$D$103</f>
        <v>42.083536959620332</v>
      </c>
      <c r="K49" s="271">
        <f t="shared" si="1"/>
        <v>98178.091488474092</v>
      </c>
      <c r="L49" s="271">
        <f t="shared" si="2"/>
        <v>13772.333220980037</v>
      </c>
      <c r="M49" s="291"/>
      <c r="N49" s="45">
        <f t="shared" si="3"/>
        <v>13772.329325131848</v>
      </c>
    </row>
    <row r="50" spans="1:15" s="5" customFormat="1" ht="13.5" customHeight="1">
      <c r="A50" s="263">
        <v>45128</v>
      </c>
      <c r="B50" s="373" t="s">
        <v>443</v>
      </c>
      <c r="C50" s="291"/>
      <c r="D50" s="291">
        <v>30</v>
      </c>
      <c r="E50" s="37" t="s">
        <v>296</v>
      </c>
      <c r="F50" s="355" t="s">
        <v>327</v>
      </c>
      <c r="G50" s="374"/>
      <c r="H50" s="291"/>
      <c r="I50" s="277">
        <v>397.5</v>
      </c>
      <c r="J50" s="359">
        <f>I50/'통장내역(환율표)'!$D$103</f>
        <v>55.760686471496939</v>
      </c>
      <c r="K50" s="271">
        <f t="shared" si="1"/>
        <v>97780.591488474092</v>
      </c>
      <c r="L50" s="271">
        <f t="shared" si="2"/>
        <v>13716.572534508541</v>
      </c>
      <c r="M50" s="291"/>
      <c r="N50" s="45">
        <f t="shared" si="3"/>
        <v>13716.568638660352</v>
      </c>
    </row>
    <row r="51" spans="1:15" s="5" customFormat="1" ht="13.5" customHeight="1">
      <c r="A51" s="263">
        <v>45128</v>
      </c>
      <c r="B51" s="373" t="s">
        <v>250</v>
      </c>
      <c r="C51" s="291"/>
      <c r="D51" s="291">
        <v>31</v>
      </c>
      <c r="E51" s="37" t="s">
        <v>107</v>
      </c>
      <c r="F51" s="355"/>
      <c r="G51" s="374"/>
      <c r="H51" s="291"/>
      <c r="I51" s="277">
        <v>3.6</v>
      </c>
      <c r="J51" s="359">
        <f>I51/'통장내역(환율표)'!$D$103</f>
        <v>0.50500244351544399</v>
      </c>
      <c r="K51" s="271">
        <f t="shared" si="1"/>
        <v>97776.991488474087</v>
      </c>
      <c r="L51" s="271">
        <f t="shared" si="2"/>
        <v>13716.067532065026</v>
      </c>
      <c r="M51" s="291"/>
      <c r="N51" s="45">
        <f t="shared" si="3"/>
        <v>13716.063636216837</v>
      </c>
    </row>
    <row r="52" spans="1:15" s="5" customFormat="1" ht="13.5" customHeight="1">
      <c r="A52" s="263">
        <v>45128</v>
      </c>
      <c r="B52" s="373" t="s">
        <v>809</v>
      </c>
      <c r="C52" s="291"/>
      <c r="D52" s="291">
        <v>32</v>
      </c>
      <c r="E52" s="37" t="s">
        <v>238</v>
      </c>
      <c r="F52" s="355" t="s">
        <v>324</v>
      </c>
      <c r="G52" s="374"/>
      <c r="H52" s="291"/>
      <c r="I52" s="277">
        <v>14275.61</v>
      </c>
      <c r="J52" s="359">
        <f>I52/'통장내역(환율표)'!$D$103</f>
        <v>2002.5605368537522</v>
      </c>
      <c r="K52" s="271">
        <f t="shared" si="1"/>
        <v>83501.381488474086</v>
      </c>
      <c r="L52" s="271">
        <f t="shared" si="2"/>
        <v>11713.506995211274</v>
      </c>
      <c r="M52" s="291" t="s">
        <v>797</v>
      </c>
      <c r="N52" s="45">
        <f t="shared" si="3"/>
        <v>11713.503099363084</v>
      </c>
    </row>
    <row r="53" spans="1:15" s="5" customFormat="1" ht="13.5" customHeight="1">
      <c r="A53" s="263">
        <v>45128</v>
      </c>
      <c r="B53" s="373" t="s">
        <v>250</v>
      </c>
      <c r="C53" s="291"/>
      <c r="D53" s="291">
        <v>33</v>
      </c>
      <c r="E53" s="37" t="s">
        <v>107</v>
      </c>
      <c r="F53" s="355"/>
      <c r="G53" s="374"/>
      <c r="H53" s="291"/>
      <c r="I53" s="277">
        <v>7.2</v>
      </c>
      <c r="J53" s="359">
        <f>I53/'통장내역(환율표)'!$D$103</f>
        <v>1.010004887030888</v>
      </c>
      <c r="K53" s="271">
        <f t="shared" si="1"/>
        <v>83494.181488474089</v>
      </c>
      <c r="L53" s="271">
        <f t="shared" si="2"/>
        <v>11712.496990324242</v>
      </c>
      <c r="M53" s="291"/>
      <c r="N53" s="45">
        <f t="shared" si="3"/>
        <v>11712.493094476053</v>
      </c>
    </row>
    <row r="54" spans="1:15" s="5" customFormat="1" ht="13.5" customHeight="1">
      <c r="A54" s="263">
        <v>45128</v>
      </c>
      <c r="B54" s="373" t="s">
        <v>810</v>
      </c>
      <c r="C54" s="291"/>
      <c r="D54" s="291">
        <v>34</v>
      </c>
      <c r="E54" s="37" t="s">
        <v>292</v>
      </c>
      <c r="F54" s="355"/>
      <c r="G54" s="374"/>
      <c r="H54" s="291"/>
      <c r="I54" s="277">
        <v>5300</v>
      </c>
      <c r="J54" s="359">
        <f>I54/'통장내역(환율표)'!$D$103</f>
        <v>743.47581961995922</v>
      </c>
      <c r="K54" s="271">
        <f t="shared" si="1"/>
        <v>78194.181488474089</v>
      </c>
      <c r="L54" s="271">
        <f t="shared" si="2"/>
        <v>10969.021170704282</v>
      </c>
      <c r="M54" s="291" t="s">
        <v>798</v>
      </c>
      <c r="N54" s="45">
        <f t="shared" si="3"/>
        <v>10969.017274856093</v>
      </c>
    </row>
    <row r="55" spans="1:15" s="5" customFormat="1" ht="13.5" customHeight="1">
      <c r="A55" s="263">
        <v>45128</v>
      </c>
      <c r="B55" s="373" t="s">
        <v>250</v>
      </c>
      <c r="C55" s="291"/>
      <c r="D55" s="291">
        <v>35</v>
      </c>
      <c r="E55" s="37" t="s">
        <v>107</v>
      </c>
      <c r="F55" s="355"/>
      <c r="G55" s="374"/>
      <c r="H55" s="291"/>
      <c r="I55" s="277">
        <v>3.6</v>
      </c>
      <c r="J55" s="359">
        <f>I55/'통장내역(환율표)'!$D$103</f>
        <v>0.50500244351544399</v>
      </c>
      <c r="K55" s="271">
        <f t="shared" si="1"/>
        <v>78190.581488474083</v>
      </c>
      <c r="L55" s="271">
        <f t="shared" si="2"/>
        <v>10968.516168260767</v>
      </c>
      <c r="M55" s="291"/>
      <c r="N55" s="45">
        <f t="shared" si="3"/>
        <v>10968.512272412578</v>
      </c>
    </row>
    <row r="56" spans="1:15" s="5" customFormat="1" ht="13.5" customHeight="1">
      <c r="A56" s="263">
        <v>45138</v>
      </c>
      <c r="B56" s="373" t="s">
        <v>820</v>
      </c>
      <c r="C56" s="291"/>
      <c r="D56" s="291"/>
      <c r="E56" s="37" t="s">
        <v>820</v>
      </c>
      <c r="F56" s="355"/>
      <c r="G56" s="374"/>
      <c r="H56" s="291"/>
      <c r="I56" s="277"/>
      <c r="J56" s="359">
        <v>0.06</v>
      </c>
      <c r="K56" s="271">
        <f>K55+G56-I56</f>
        <v>78190.581488474083</v>
      </c>
      <c r="L56" s="271">
        <f>L55+H56-J56</f>
        <v>10968.456168260767</v>
      </c>
      <c r="M56" s="291" t="s">
        <v>822</v>
      </c>
      <c r="N56" s="45"/>
    </row>
    <row r="57" spans="1:15" s="5" customFormat="1" ht="13.5" customHeight="1">
      <c r="A57" s="263">
        <v>45133</v>
      </c>
      <c r="B57" s="373" t="s">
        <v>811</v>
      </c>
      <c r="C57" s="291"/>
      <c r="D57" s="291">
        <v>36</v>
      </c>
      <c r="E57" s="37" t="s">
        <v>815</v>
      </c>
      <c r="F57" s="355"/>
      <c r="G57" s="374"/>
      <c r="H57" s="291"/>
      <c r="I57" s="277">
        <v>78190.58</v>
      </c>
      <c r="J57" s="359">
        <f>I57/'통장내역(환율표)'!$D$103</f>
        <v>10968.453877747168</v>
      </c>
      <c r="K57" s="271">
        <f>K56+G57-I57</f>
        <v>1.4884740812703967E-3</v>
      </c>
      <c r="L57" s="271">
        <f>L56+H57-J57</f>
        <v>2.2905135992914438E-3</v>
      </c>
      <c r="M57" s="291" t="s">
        <v>819</v>
      </c>
      <c r="N57" s="387">
        <f>N55-J57</f>
        <v>5.839466540965077E-2</v>
      </c>
    </row>
    <row r="58" spans="1:15" s="5" customFormat="1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5" s="5" customFormat="1" ht="13.5" customHeight="1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5" s="5" customFormat="1" ht="13.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s="5" customFormat="1" ht="13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s="5" customFormat="1" ht="13.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s="5" customFormat="1" ht="13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s="5" customFormat="1" ht="13.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s="5" customFormat="1" ht="13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s="5" customFormat="1" ht="13.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s="5" customFormat="1" ht="13.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s="5" customFormat="1" ht="12.7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s="5" customFormat="1" ht="12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s="5" customFormat="1" ht="12.7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s="5" customFormat="1" ht="12.7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2.75" customHeight="1">
      <c r="A72"/>
      <c r="B72"/>
      <c r="C72" s="363"/>
      <c r="D72" s="363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 s="364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 s="63"/>
      <c r="D74" s="365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7" spans="1:15">
      <c r="B127" s="322"/>
    </row>
    <row r="128" spans="1:15">
      <c r="B128" s="322"/>
    </row>
  </sheetData>
  <autoFilter ref="A18:N126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80B-6E9E-4652-8FB0-8368243E74A9}">
  <sheetPr>
    <tabColor rgb="FFFFC000"/>
    <pageSetUpPr fitToPage="1"/>
  </sheetPr>
  <dimension ref="A1:R165"/>
  <sheetViews>
    <sheetView showGridLines="0" zoomScale="85" zoomScaleNormal="85" workbookViewId="0">
      <pane ySplit="18" topLeftCell="A103" activePane="bottomLeft" state="frozen"/>
      <selection pane="bottomLeft" activeCell="B113" sqref="B113:D113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27.25" customWidth="1"/>
    <col min="14" max="14" width="15.125" customWidth="1"/>
    <col min="15" max="15" width="11.625" bestFit="1" customWidth="1"/>
    <col min="16" max="16" width="9.625" bestFit="1" customWidth="1"/>
    <col min="17" max="17" width="13.25" bestFit="1" customWidth="1"/>
    <col min="18" max="18" width="10" bestFit="1" customWidth="1"/>
  </cols>
  <sheetData>
    <row r="1" spans="1:18" ht="24">
      <c r="A1" s="1" t="s">
        <v>332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8" s="5" customFormat="1" ht="17.25">
      <c r="A2" s="130" t="s">
        <v>870</v>
      </c>
      <c r="B2" s="2"/>
      <c r="C2" s="2"/>
      <c r="E2" s="4">
        <v>100000210</v>
      </c>
      <c r="F2" s="119"/>
      <c r="G2" s="130" t="s">
        <v>871</v>
      </c>
      <c r="H2" s="2"/>
      <c r="I2" s="2"/>
      <c r="K2" s="4">
        <v>100000210</v>
      </c>
      <c r="L2" s="372"/>
      <c r="M2" s="130" t="s">
        <v>872</v>
      </c>
      <c r="N2" s="2"/>
      <c r="O2" s="2"/>
      <c r="Q2" s="4">
        <v>100000210</v>
      </c>
    </row>
    <row r="3" spans="1:18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40" t="s">
        <v>291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8" s="5" customFormat="1" ht="13.5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  <c r="M4" s="114" t="s">
        <v>292</v>
      </c>
      <c r="N4" s="115"/>
      <c r="O4" s="116"/>
      <c r="P4" s="116"/>
      <c r="Q4" s="117"/>
    </row>
    <row r="5" spans="1:18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  <c r="M5" s="114" t="s">
        <v>238</v>
      </c>
      <c r="N5" s="115" t="s">
        <v>12</v>
      </c>
      <c r="O5" s="120">
        <v>8033.25</v>
      </c>
      <c r="P5" s="116">
        <v>1113.67</v>
      </c>
      <c r="Q5" s="117">
        <v>1468151</v>
      </c>
      <c r="R5" s="425">
        <f t="shared" ref="R5:R10" si="0">E5+K5+Q5</f>
        <v>1468151</v>
      </c>
    </row>
    <row r="6" spans="1:18" s="5" customFormat="1" ht="13.5">
      <c r="A6" s="114" t="s">
        <v>294</v>
      </c>
      <c r="B6" s="115" t="s">
        <v>14</v>
      </c>
      <c r="C6" s="116">
        <v>2928.18</v>
      </c>
      <c r="D6" s="116">
        <v>410.78</v>
      </c>
      <c r="E6" s="117">
        <v>519801</v>
      </c>
      <c r="F6" s="121">
        <v>51061030</v>
      </c>
      <c r="G6" s="114" t="s">
        <v>294</v>
      </c>
      <c r="H6" s="115" t="s">
        <v>14</v>
      </c>
      <c r="I6" s="116">
        <v>11874.089999999998</v>
      </c>
      <c r="J6" s="116">
        <v>1660.42</v>
      </c>
      <c r="K6" s="117">
        <v>2125338</v>
      </c>
      <c r="L6" s="248">
        <f t="shared" ref="L6:L11" si="1">K6+E6</f>
        <v>2645139</v>
      </c>
      <c r="M6" s="114" t="s">
        <v>294</v>
      </c>
      <c r="N6" s="115" t="s">
        <v>14</v>
      </c>
      <c r="O6" s="116">
        <v>20318.370000000003</v>
      </c>
      <c r="P6" s="116">
        <v>2816.79</v>
      </c>
      <c r="Q6" s="117">
        <v>3713374</v>
      </c>
      <c r="R6" s="425">
        <f t="shared" si="0"/>
        <v>6358513</v>
      </c>
    </row>
    <row r="7" spans="1:18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0</v>
      </c>
      <c r="M7" s="114" t="s">
        <v>75</v>
      </c>
      <c r="N7" s="115" t="s">
        <v>16</v>
      </c>
      <c r="O7" s="116">
        <v>20023</v>
      </c>
      <c r="P7" s="116">
        <v>2775.84</v>
      </c>
      <c r="Q7" s="117">
        <v>3659390</v>
      </c>
      <c r="R7" s="425">
        <f t="shared" si="0"/>
        <v>3659390</v>
      </c>
    </row>
    <row r="8" spans="1:18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0</v>
      </c>
      <c r="M8" s="114" t="s">
        <v>75</v>
      </c>
      <c r="N8" s="114" t="s">
        <v>17</v>
      </c>
      <c r="O8" s="116">
        <v>10500</v>
      </c>
      <c r="P8" s="116">
        <v>1455.64</v>
      </c>
      <c r="Q8" s="117">
        <v>1918970</v>
      </c>
      <c r="R8" s="425">
        <f t="shared" si="0"/>
        <v>1918970</v>
      </c>
    </row>
    <row r="9" spans="1:18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1"/>
        <v>0</v>
      </c>
      <c r="M9" s="114" t="s">
        <v>296</v>
      </c>
      <c r="N9" s="114" t="s">
        <v>20</v>
      </c>
      <c r="O9" s="116">
        <v>996</v>
      </c>
      <c r="P9" s="116">
        <v>138.08000000000001</v>
      </c>
      <c r="Q9" s="117">
        <v>182031</v>
      </c>
      <c r="R9" s="425">
        <f t="shared" si="0"/>
        <v>182031</v>
      </c>
    </row>
    <row r="10" spans="1:18" s="5" customFormat="1" ht="13.5">
      <c r="A10" s="114" t="s">
        <v>62</v>
      </c>
      <c r="B10" s="115"/>
      <c r="C10" s="116">
        <v>92563.489999999991</v>
      </c>
      <c r="D10" s="116">
        <v>13011.22</v>
      </c>
      <c r="E10" s="117">
        <v>16464398</v>
      </c>
      <c r="F10" s="121">
        <v>51321010</v>
      </c>
      <c r="G10" s="114" t="s">
        <v>62</v>
      </c>
      <c r="H10" s="115"/>
      <c r="I10" s="116">
        <v>66053.14</v>
      </c>
      <c r="J10" s="116">
        <v>9262.58</v>
      </c>
      <c r="K10" s="117">
        <v>11856102</v>
      </c>
      <c r="L10" s="248">
        <f t="shared" si="1"/>
        <v>28320500</v>
      </c>
      <c r="M10" s="114" t="s">
        <v>62</v>
      </c>
      <c r="N10" s="115"/>
      <c r="O10" s="116">
        <v>289091.51</v>
      </c>
      <c r="P10" s="116">
        <v>40103.5</v>
      </c>
      <c r="Q10" s="117">
        <v>52868444</v>
      </c>
      <c r="R10" s="425">
        <f t="shared" si="0"/>
        <v>81188944</v>
      </c>
    </row>
    <row r="11" spans="1:18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122" t="s">
        <v>23</v>
      </c>
      <c r="N11" s="123"/>
      <c r="O11" s="116"/>
      <c r="P11" s="116"/>
      <c r="Q11" s="117"/>
    </row>
    <row r="12" spans="1:18" s="5" customFormat="1" ht="13.5">
      <c r="A12" s="1493" t="s">
        <v>299</v>
      </c>
      <c r="B12" s="1494"/>
      <c r="C12" s="124">
        <f>SUM(C4:C11)</f>
        <v>95491.669999999984</v>
      </c>
      <c r="D12" s="124">
        <f>SUM(D4:D11)</f>
        <v>13422</v>
      </c>
      <c r="E12" s="125">
        <f>SUM(E4:E11)</f>
        <v>16984199</v>
      </c>
      <c r="F12" s="121">
        <v>52981010</v>
      </c>
      <c r="G12" s="1493" t="s">
        <v>299</v>
      </c>
      <c r="H12" s="1494"/>
      <c r="I12" s="124">
        <f>SUM(I4:I11)</f>
        <v>77927.23</v>
      </c>
      <c r="J12" s="124">
        <f>SUM(J4:J11)</f>
        <v>10923</v>
      </c>
      <c r="K12" s="125">
        <f>SUM(K4:K11)</f>
        <v>13981440</v>
      </c>
      <c r="L12" s="119"/>
      <c r="M12" s="1493" t="s">
        <v>299</v>
      </c>
      <c r="N12" s="1494"/>
      <c r="O12" s="124">
        <f>SUM(O4:O11)</f>
        <v>348962.13</v>
      </c>
      <c r="P12" s="124">
        <f>SUM(P4:P11)</f>
        <v>48403.520000000004</v>
      </c>
      <c r="Q12" s="125">
        <f>SUM(Q4:Q11)</f>
        <v>63810360</v>
      </c>
    </row>
    <row r="13" spans="1:18" s="5" customFormat="1" ht="14.25" customHeight="1">
      <c r="A13" s="126"/>
      <c r="B13" s="315"/>
      <c r="C13" s="316">
        <f>C12+I12</f>
        <v>173418.89999999997</v>
      </c>
      <c r="D13" s="316">
        <f>D12+J12</f>
        <v>24345</v>
      </c>
      <c r="E13" s="317">
        <f>E12+K12</f>
        <v>30965639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.5">
      <c r="A14" s="126"/>
      <c r="B14" s="315"/>
      <c r="D14" s="316">
        <v>2188.4380072104718</v>
      </c>
      <c r="E14" s="317">
        <v>2769252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.5">
      <c r="A15" s="126"/>
      <c r="B15" s="315"/>
      <c r="C15" s="316"/>
      <c r="D15" s="316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.5">
      <c r="B16" s="134">
        <v>13081010</v>
      </c>
      <c r="C16" s="135"/>
      <c r="D16" s="135"/>
      <c r="G16" s="6"/>
      <c r="H16" s="137"/>
      <c r="I16" s="137">
        <f>SUBTOTAL(9,I19:I174)</f>
        <v>522381.03</v>
      </c>
      <c r="J16" s="137">
        <f>SUBTOTAL(9,J19:J172)</f>
        <v>72748.519552869795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45133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0</v>
      </c>
      <c r="L19" s="241">
        <v>0</v>
      </c>
      <c r="M19" s="240"/>
      <c r="N19" s="45">
        <v>0</v>
      </c>
    </row>
    <row r="20" spans="1:14" s="5" customFormat="1" ht="13.5" customHeight="1">
      <c r="A20" s="376">
        <v>45133</v>
      </c>
      <c r="B20" s="377" t="s">
        <v>643</v>
      </c>
      <c r="C20" s="377"/>
      <c r="D20" s="378">
        <v>1</v>
      </c>
      <c r="E20" s="188"/>
      <c r="F20" s="377"/>
      <c r="G20" s="379">
        <v>95491.67</v>
      </c>
      <c r="H20" s="380">
        <v>13422</v>
      </c>
      <c r="I20" s="381"/>
      <c r="J20" s="382">
        <f>I20/'통장내역(환율표)'!$D$92</f>
        <v>0</v>
      </c>
      <c r="K20" s="380">
        <f>K19+G20-I20</f>
        <v>95491.67</v>
      </c>
      <c r="L20" s="380">
        <f>L19+H20-J20</f>
        <v>13422</v>
      </c>
      <c r="M20" s="383"/>
      <c r="N20" s="45"/>
    </row>
    <row r="21" spans="1:14" s="5" customFormat="1" ht="13.5" customHeight="1">
      <c r="A21" s="376">
        <v>45133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354">
        <v>26</v>
      </c>
      <c r="K21" s="380">
        <f t="shared" ref="K21:K28" si="2">K20+G21-I21</f>
        <v>95491.67</v>
      </c>
      <c r="L21" s="380">
        <f t="shared" ref="L21:L28" si="3">L20+H21-J21</f>
        <v>13396</v>
      </c>
      <c r="M21" s="383"/>
      <c r="N21" s="45"/>
    </row>
    <row r="22" spans="1:14" s="5" customFormat="1" ht="13.5" customHeight="1">
      <c r="A22" s="263">
        <v>45134</v>
      </c>
      <c r="B22" s="373" t="s">
        <v>250</v>
      </c>
      <c r="C22" s="33"/>
      <c r="D22" s="290">
        <v>2</v>
      </c>
      <c r="E22" s="37" t="s">
        <v>107</v>
      </c>
      <c r="F22" s="355"/>
      <c r="G22" s="375"/>
      <c r="H22" s="384"/>
      <c r="I22" s="278">
        <v>220</v>
      </c>
      <c r="J22" s="354">
        <f>I22/'통장내역(환율표)'!$D$112</f>
        <v>30.862587281173319</v>
      </c>
      <c r="K22" s="271">
        <f t="shared" si="2"/>
        <v>95271.67</v>
      </c>
      <c r="L22" s="271">
        <f t="shared" si="3"/>
        <v>13365.137412718826</v>
      </c>
      <c r="M22" s="33" t="s">
        <v>799</v>
      </c>
      <c r="N22" s="45">
        <f>H20-J21-J22</f>
        <v>13365.137412718826</v>
      </c>
    </row>
    <row r="23" spans="1:14" s="5" customFormat="1" ht="13.5" customHeight="1">
      <c r="A23" s="263">
        <v>45134</v>
      </c>
      <c r="B23" s="373" t="s">
        <v>250</v>
      </c>
      <c r="C23" s="37"/>
      <c r="D23" s="37">
        <v>3</v>
      </c>
      <c r="E23" s="37" t="s">
        <v>107</v>
      </c>
      <c r="F23" s="355"/>
      <c r="G23" s="375"/>
      <c r="H23" s="33"/>
      <c r="I23" s="278">
        <v>107.38</v>
      </c>
      <c r="J23" s="354">
        <f>I23/'통장내역(환율표)'!$D$112</f>
        <v>15.063748282965413</v>
      </c>
      <c r="K23" s="271">
        <f t="shared" si="2"/>
        <v>95164.29</v>
      </c>
      <c r="L23" s="271">
        <f t="shared" si="3"/>
        <v>13350.07366443586</v>
      </c>
      <c r="M23" s="33" t="s">
        <v>799</v>
      </c>
      <c r="N23" s="45">
        <f>N22-J23</f>
        <v>13350.07366443586</v>
      </c>
    </row>
    <row r="24" spans="1:14" s="5" customFormat="1" ht="13.5" customHeight="1">
      <c r="A24" s="263">
        <v>45135</v>
      </c>
      <c r="B24" s="373" t="s">
        <v>787</v>
      </c>
      <c r="C24" s="33"/>
      <c r="D24" s="33">
        <v>4</v>
      </c>
      <c r="E24" s="37" t="s">
        <v>294</v>
      </c>
      <c r="F24" s="355" t="s">
        <v>322</v>
      </c>
      <c r="G24" s="375"/>
      <c r="H24" s="33"/>
      <c r="I24" s="278">
        <v>2928.18</v>
      </c>
      <c r="J24" s="354">
        <f>I24/'통장내역(환율표)'!$D$112</f>
        <v>410.77823102266404</v>
      </c>
      <c r="K24" s="271">
        <f t="shared" si="2"/>
        <v>92236.11</v>
      </c>
      <c r="L24" s="271">
        <f t="shared" si="3"/>
        <v>12939.295433413195</v>
      </c>
      <c r="M24" s="291" t="s">
        <v>846</v>
      </c>
      <c r="N24" s="45">
        <f t="shared" ref="N24:N37" si="4">N23-J24</f>
        <v>12939.295433413195</v>
      </c>
    </row>
    <row r="25" spans="1:14" s="5" customFormat="1" ht="13.5" customHeight="1">
      <c r="A25" s="263">
        <v>45135</v>
      </c>
      <c r="B25" s="373" t="s">
        <v>250</v>
      </c>
      <c r="C25" s="37"/>
      <c r="D25" s="37">
        <v>5</v>
      </c>
      <c r="E25" s="37" t="s">
        <v>107</v>
      </c>
      <c r="F25" s="355"/>
      <c r="G25" s="375"/>
      <c r="H25" s="33"/>
      <c r="I25" s="278">
        <v>3.6</v>
      </c>
      <c r="J25" s="354">
        <f>I25/'통장내역(환율표)'!$D$112</f>
        <v>0.50502415551010893</v>
      </c>
      <c r="K25" s="271">
        <f t="shared" si="2"/>
        <v>92232.51</v>
      </c>
      <c r="L25" s="271">
        <f t="shared" si="3"/>
        <v>12938.790409257685</v>
      </c>
      <c r="M25" s="291"/>
      <c r="N25" s="45">
        <f t="shared" si="4"/>
        <v>12938.790409257685</v>
      </c>
    </row>
    <row r="26" spans="1:14" s="5" customFormat="1" ht="13.5" customHeight="1">
      <c r="A26" s="263">
        <v>45135</v>
      </c>
      <c r="B26" s="424" t="s">
        <v>800</v>
      </c>
      <c r="C26" s="37"/>
      <c r="D26" s="37">
        <v>6</v>
      </c>
      <c r="E26" s="355" t="s">
        <v>107</v>
      </c>
      <c r="F26" s="355"/>
      <c r="G26" s="375"/>
      <c r="H26" s="33"/>
      <c r="I26" s="278">
        <v>15600</v>
      </c>
      <c r="J26" s="354">
        <f>I26/'통장내역(환율표)'!$D$112</f>
        <v>2188.4380072104718</v>
      </c>
      <c r="K26" s="271">
        <f t="shared" si="2"/>
        <v>76632.509999999995</v>
      </c>
      <c r="L26" s="271">
        <f t="shared" si="3"/>
        <v>10750.352402047212</v>
      </c>
      <c r="M26" s="291" t="s">
        <v>847</v>
      </c>
      <c r="N26" s="45">
        <f t="shared" si="4"/>
        <v>10750.352402047212</v>
      </c>
    </row>
    <row r="27" spans="1:14" s="5" customFormat="1" ht="13.5" customHeight="1">
      <c r="A27" s="263">
        <v>45135</v>
      </c>
      <c r="B27" s="373" t="s">
        <v>250</v>
      </c>
      <c r="C27" s="37"/>
      <c r="D27" s="37">
        <v>7</v>
      </c>
      <c r="E27" s="355" t="s">
        <v>107</v>
      </c>
      <c r="F27" s="355"/>
      <c r="G27" s="375"/>
      <c r="H27" s="33"/>
      <c r="I27" s="278">
        <v>7.2</v>
      </c>
      <c r="J27" s="354">
        <f>I27/'통장내역(환율표)'!$D$112</f>
        <v>1.0100483110202179</v>
      </c>
      <c r="K27" s="271">
        <f t="shared" si="2"/>
        <v>76625.31</v>
      </c>
      <c r="L27" s="271">
        <f t="shared" si="3"/>
        <v>10749.342353736192</v>
      </c>
      <c r="M27" s="291"/>
      <c r="N27" s="45">
        <f t="shared" si="4"/>
        <v>10749.342353736192</v>
      </c>
    </row>
    <row r="28" spans="1:14" s="5" customFormat="1" ht="13.5" customHeight="1">
      <c r="A28" s="263">
        <v>45135</v>
      </c>
      <c r="B28" s="321" t="s">
        <v>873</v>
      </c>
      <c r="C28" s="355"/>
      <c r="D28" s="290">
        <v>7</v>
      </c>
      <c r="E28" s="355" t="s">
        <v>107</v>
      </c>
      <c r="F28" s="355"/>
      <c r="G28" s="271"/>
      <c r="H28" s="271"/>
      <c r="I28" s="275">
        <v>5066.49</v>
      </c>
      <c r="J28" s="354">
        <f>I28/'통장내역(환율표)'!$D$112</f>
        <v>710.74995379178097</v>
      </c>
      <c r="K28" s="271">
        <f t="shared" si="2"/>
        <v>71558.819999999992</v>
      </c>
      <c r="L28" s="271">
        <f t="shared" si="3"/>
        <v>10038.592399944411</v>
      </c>
      <c r="M28" s="355" t="s">
        <v>453</v>
      </c>
      <c r="N28" s="45">
        <f t="shared" si="4"/>
        <v>10038.592399944411</v>
      </c>
    </row>
    <row r="29" spans="1:14" s="5" customFormat="1" ht="13.5" customHeight="1">
      <c r="A29" s="263">
        <v>45135</v>
      </c>
      <c r="B29" s="321" t="s">
        <v>874</v>
      </c>
      <c r="C29" s="355"/>
      <c r="D29" s="290">
        <v>7</v>
      </c>
      <c r="E29" s="355" t="s">
        <v>107</v>
      </c>
      <c r="F29" s="355"/>
      <c r="G29" s="271"/>
      <c r="H29" s="271"/>
      <c r="I29" s="275">
        <v>37700</v>
      </c>
      <c r="J29" s="354">
        <f>I29/'통장내역(환율표)'!$D$112</f>
        <v>5288.7251840919735</v>
      </c>
      <c r="K29" s="271">
        <f t="shared" ref="K29:K92" si="5">K28+G29-I29</f>
        <v>33858.819999999992</v>
      </c>
      <c r="L29" s="271">
        <f t="shared" ref="L29:L92" si="6">L28+H29-J29</f>
        <v>4749.8672158524378</v>
      </c>
      <c r="M29" s="355" t="s">
        <v>453</v>
      </c>
      <c r="N29" s="45">
        <f t="shared" si="4"/>
        <v>4749.8672158524378</v>
      </c>
    </row>
    <row r="30" spans="1:14" s="5" customFormat="1" ht="13.5" customHeight="1">
      <c r="A30" s="263">
        <v>45135</v>
      </c>
      <c r="B30" s="321" t="s">
        <v>849</v>
      </c>
      <c r="C30" s="355"/>
      <c r="D30" s="290">
        <v>7</v>
      </c>
      <c r="E30" s="355" t="s">
        <v>107</v>
      </c>
      <c r="F30" s="355"/>
      <c r="G30" s="271"/>
      <c r="H30" s="271"/>
      <c r="I30" s="275">
        <v>300</v>
      </c>
      <c r="J30" s="354">
        <f>I30/'통장내역(환율표)'!$D$112</f>
        <v>42.085346292509072</v>
      </c>
      <c r="K30" s="271">
        <f t="shared" si="5"/>
        <v>33558.819999999992</v>
      </c>
      <c r="L30" s="271">
        <f t="shared" si="6"/>
        <v>4707.781869559929</v>
      </c>
      <c r="M30" s="355" t="s">
        <v>453</v>
      </c>
      <c r="N30" s="45">
        <f t="shared" si="4"/>
        <v>4707.781869559929</v>
      </c>
    </row>
    <row r="31" spans="1:14" s="5" customFormat="1" ht="13.5" customHeight="1">
      <c r="A31" s="263">
        <v>45135</v>
      </c>
      <c r="B31" s="373" t="s">
        <v>875</v>
      </c>
      <c r="C31" s="355"/>
      <c r="D31" s="290">
        <v>8</v>
      </c>
      <c r="E31" s="355" t="s">
        <v>107</v>
      </c>
      <c r="F31" s="355"/>
      <c r="G31" s="271"/>
      <c r="H31" s="271"/>
      <c r="I31" s="271">
        <v>4703.3899999999994</v>
      </c>
      <c r="J31" s="354">
        <f>I31/'통장내역(환율표)'!$D$112</f>
        <v>659.81265632908071</v>
      </c>
      <c r="K31" s="271">
        <f t="shared" si="5"/>
        <v>28855.429999999993</v>
      </c>
      <c r="L31" s="271">
        <f t="shared" si="6"/>
        <v>4047.9692132308483</v>
      </c>
      <c r="M31" s="355" t="s">
        <v>211</v>
      </c>
      <c r="N31" s="45">
        <f t="shared" si="4"/>
        <v>4047.9692132308483</v>
      </c>
    </row>
    <row r="32" spans="1:14" s="5" customFormat="1" ht="13.5" customHeight="1">
      <c r="A32" s="263">
        <v>45135</v>
      </c>
      <c r="B32" s="373" t="s">
        <v>133</v>
      </c>
      <c r="C32" s="355"/>
      <c r="D32" s="290">
        <v>8</v>
      </c>
      <c r="E32" s="355" t="s">
        <v>107</v>
      </c>
      <c r="F32" s="355"/>
      <c r="G32" s="271"/>
      <c r="H32" s="271"/>
      <c r="I32" s="271">
        <v>6098.59</v>
      </c>
      <c r="J32" s="354">
        <f>I32/'통장내역(환율표)'!$D$112</f>
        <v>855.53757348677641</v>
      </c>
      <c r="K32" s="271">
        <f t="shared" si="5"/>
        <v>22756.839999999993</v>
      </c>
      <c r="L32" s="271">
        <f t="shared" si="6"/>
        <v>3192.4316397440716</v>
      </c>
      <c r="M32" s="355" t="s">
        <v>211</v>
      </c>
      <c r="N32" s="45">
        <f t="shared" si="4"/>
        <v>3192.4316397440716</v>
      </c>
    </row>
    <row r="33" spans="1:14" s="5" customFormat="1" ht="13.5" customHeight="1">
      <c r="A33" s="263">
        <v>45135</v>
      </c>
      <c r="B33" s="373" t="s">
        <v>849</v>
      </c>
      <c r="C33" s="355"/>
      <c r="D33" s="290">
        <v>8</v>
      </c>
      <c r="E33" s="355" t="s">
        <v>107</v>
      </c>
      <c r="F33" s="355"/>
      <c r="G33" s="271"/>
      <c r="H33" s="271"/>
      <c r="I33" s="271">
        <v>300</v>
      </c>
      <c r="J33" s="354">
        <f>I33/'통장내역(환율표)'!$D$112</f>
        <v>42.085346292509072</v>
      </c>
      <c r="K33" s="271">
        <f t="shared" si="5"/>
        <v>22456.839999999993</v>
      </c>
      <c r="L33" s="271">
        <f t="shared" si="6"/>
        <v>3150.3462934515624</v>
      </c>
      <c r="M33" s="355"/>
      <c r="N33" s="45">
        <f t="shared" si="4"/>
        <v>3150.3462934515624</v>
      </c>
    </row>
    <row r="34" spans="1:14" s="5" customFormat="1" ht="13.5" customHeight="1">
      <c r="A34" s="263">
        <v>45135</v>
      </c>
      <c r="B34" s="373" t="s">
        <v>875</v>
      </c>
      <c r="C34" s="355"/>
      <c r="D34" s="290">
        <v>9</v>
      </c>
      <c r="E34" s="355" t="s">
        <v>107</v>
      </c>
      <c r="F34" s="355"/>
      <c r="G34" s="271"/>
      <c r="H34" s="271"/>
      <c r="I34" s="275">
        <v>8453.39</v>
      </c>
      <c r="J34" s="354">
        <f>I34/'통장내역(환율표)'!$D$112</f>
        <v>1185.8794849854442</v>
      </c>
      <c r="K34" s="271">
        <f t="shared" si="5"/>
        <v>14003.449999999993</v>
      </c>
      <c r="L34" s="271">
        <f t="shared" si="6"/>
        <v>1964.4668084661182</v>
      </c>
      <c r="M34" s="355" t="s">
        <v>188</v>
      </c>
      <c r="N34" s="45">
        <f t="shared" si="4"/>
        <v>1964.4668084661182</v>
      </c>
    </row>
    <row r="35" spans="1:14" s="5" customFormat="1" ht="13.5" customHeight="1">
      <c r="A35" s="263">
        <v>45135</v>
      </c>
      <c r="B35" s="373" t="s">
        <v>133</v>
      </c>
      <c r="C35" s="355"/>
      <c r="D35" s="290">
        <v>9</v>
      </c>
      <c r="E35" s="355" t="s">
        <v>107</v>
      </c>
      <c r="F35" s="355"/>
      <c r="G35" s="271"/>
      <c r="H35" s="271"/>
      <c r="I35" s="275">
        <v>5738.59</v>
      </c>
      <c r="J35" s="354">
        <f>I35/'통장내역(환율표)'!$D$112</f>
        <v>805.03515793576548</v>
      </c>
      <c r="K35" s="271">
        <f t="shared" si="5"/>
        <v>8264.8599999999933</v>
      </c>
      <c r="L35" s="271">
        <f t="shared" si="6"/>
        <v>1159.4316505303527</v>
      </c>
      <c r="M35" s="355" t="s">
        <v>188</v>
      </c>
      <c r="N35" s="45">
        <f t="shared" si="4"/>
        <v>1159.4316505303527</v>
      </c>
    </row>
    <row r="36" spans="1:14" s="5" customFormat="1" ht="13.5" customHeight="1">
      <c r="A36" s="263">
        <v>45135</v>
      </c>
      <c r="B36" s="373" t="s">
        <v>849</v>
      </c>
      <c r="C36" s="355"/>
      <c r="D36" s="290">
        <v>9</v>
      </c>
      <c r="E36" s="355" t="s">
        <v>107</v>
      </c>
      <c r="F36" s="355"/>
      <c r="G36" s="271"/>
      <c r="H36" s="271"/>
      <c r="I36" s="275">
        <v>300</v>
      </c>
      <c r="J36" s="354">
        <f>I36/'통장내역(환율표)'!$D$112</f>
        <v>42.085346292509072</v>
      </c>
      <c r="K36" s="271">
        <f t="shared" si="5"/>
        <v>7964.8599999999933</v>
      </c>
      <c r="L36" s="271">
        <f t="shared" si="6"/>
        <v>1117.3463042378437</v>
      </c>
      <c r="M36" s="355"/>
      <c r="N36" s="45">
        <f t="shared" si="4"/>
        <v>1117.3463042378437</v>
      </c>
    </row>
    <row r="37" spans="1:14" s="5" customFormat="1" ht="13.5" customHeight="1">
      <c r="A37" s="263">
        <v>45135</v>
      </c>
      <c r="B37" s="373" t="s">
        <v>250</v>
      </c>
      <c r="C37" s="355"/>
      <c r="D37" s="290">
        <v>10</v>
      </c>
      <c r="E37" s="355" t="s">
        <v>107</v>
      </c>
      <c r="F37" s="355"/>
      <c r="G37" s="271"/>
      <c r="H37" s="271"/>
      <c r="I37" s="275">
        <v>7.2</v>
      </c>
      <c r="J37" s="354">
        <f>I37/'통장내역(환율표)'!$D$112</f>
        <v>1.0100483110202179</v>
      </c>
      <c r="K37" s="271">
        <f t="shared" si="5"/>
        <v>7957.6599999999935</v>
      </c>
      <c r="L37" s="271">
        <f t="shared" si="6"/>
        <v>1116.3362559268235</v>
      </c>
      <c r="M37" s="355"/>
      <c r="N37" s="45">
        <f t="shared" si="4"/>
        <v>1116.3362559268235</v>
      </c>
    </row>
    <row r="38" spans="1:14" s="5" customFormat="1" ht="13.5" customHeight="1">
      <c r="A38" s="410">
        <v>45142</v>
      </c>
      <c r="B38" s="411" t="s">
        <v>834</v>
      </c>
      <c r="C38" s="412"/>
      <c r="D38" s="413"/>
      <c r="E38" s="412"/>
      <c r="F38" s="412"/>
      <c r="G38" s="414">
        <v>77927.23</v>
      </c>
      <c r="H38" s="414">
        <v>10923</v>
      </c>
      <c r="I38" s="415"/>
      <c r="J38" s="416"/>
      <c r="K38" s="414">
        <f t="shared" si="5"/>
        <v>85884.889999999985</v>
      </c>
      <c r="L38" s="414">
        <f t="shared" si="6"/>
        <v>12039.336255926824</v>
      </c>
      <c r="M38" s="412" t="s">
        <v>823</v>
      </c>
      <c r="N38" s="45"/>
    </row>
    <row r="39" spans="1:14" s="5" customFormat="1" ht="13.5" customHeight="1">
      <c r="A39" s="410">
        <v>45142</v>
      </c>
      <c r="B39" s="411" t="s">
        <v>250</v>
      </c>
      <c r="C39" s="412"/>
      <c r="D39" s="413">
        <v>11</v>
      </c>
      <c r="E39" s="412" t="s">
        <v>107</v>
      </c>
      <c r="F39" s="412"/>
      <c r="G39" s="414"/>
      <c r="H39" s="414"/>
      <c r="I39" s="415"/>
      <c r="J39" s="361">
        <v>26</v>
      </c>
      <c r="K39" s="414">
        <f t="shared" si="5"/>
        <v>85884.889999999985</v>
      </c>
      <c r="L39" s="414">
        <f t="shared" si="6"/>
        <v>12013.336255926824</v>
      </c>
      <c r="M39" s="412"/>
      <c r="N39" s="45"/>
    </row>
    <row r="40" spans="1:14" s="5" customFormat="1" ht="13.5" customHeight="1">
      <c r="A40" s="263">
        <v>45142</v>
      </c>
      <c r="B40" s="321" t="s">
        <v>456</v>
      </c>
      <c r="C40" s="355"/>
      <c r="D40" s="290">
        <v>12</v>
      </c>
      <c r="E40" s="355" t="s">
        <v>107</v>
      </c>
      <c r="F40" s="355"/>
      <c r="G40" s="271"/>
      <c r="H40" s="271"/>
      <c r="I40" s="275">
        <f>J40*'통장내역(환율표)'!$D$112</f>
        <v>7957.6599999999962</v>
      </c>
      <c r="J40" s="354">
        <v>1116.3362559268253</v>
      </c>
      <c r="K40" s="271">
        <f t="shared" si="5"/>
        <v>77927.229999999981</v>
      </c>
      <c r="L40" s="271">
        <f t="shared" si="6"/>
        <v>10897</v>
      </c>
      <c r="M40" s="355" t="s">
        <v>859</v>
      </c>
      <c r="N40" s="45">
        <f>N37-J40</f>
        <v>-1.8189894035458565E-12</v>
      </c>
    </row>
    <row r="41" spans="1:14" s="5" customFormat="1" ht="13.5" customHeight="1">
      <c r="A41" s="263">
        <v>45142</v>
      </c>
      <c r="B41" s="321" t="s">
        <v>456</v>
      </c>
      <c r="C41" s="355"/>
      <c r="D41" s="290">
        <v>12</v>
      </c>
      <c r="E41" s="355" t="s">
        <v>107</v>
      </c>
      <c r="F41" s="355"/>
      <c r="G41" s="271"/>
      <c r="H41" s="271"/>
      <c r="I41" s="275">
        <f>15000-I40</f>
        <v>7042.3400000000038</v>
      </c>
      <c r="J41" s="361">
        <f>I41/'통장내역(환율표)'!$D$116</f>
        <v>984.769752241932</v>
      </c>
      <c r="K41" s="271">
        <f t="shared" si="5"/>
        <v>70884.889999999985</v>
      </c>
      <c r="L41" s="271">
        <f t="shared" si="6"/>
        <v>9912.2302477580688</v>
      </c>
      <c r="M41" s="355" t="s">
        <v>859</v>
      </c>
      <c r="N41" s="45">
        <f>H38-J39-J41</f>
        <v>9912.2302477580688</v>
      </c>
    </row>
    <row r="42" spans="1:14" s="5" customFormat="1" ht="13.5" customHeight="1">
      <c r="A42" s="263">
        <v>45142</v>
      </c>
      <c r="B42" s="321" t="s">
        <v>457</v>
      </c>
      <c r="C42" s="355"/>
      <c r="D42" s="290">
        <v>12</v>
      </c>
      <c r="E42" s="355" t="s">
        <v>107</v>
      </c>
      <c r="F42" s="355"/>
      <c r="G42" s="271"/>
      <c r="H42" s="271"/>
      <c r="I42" s="275">
        <v>22000</v>
      </c>
      <c r="J42" s="361">
        <f>I42/'통장내역(환율표)'!$D$116</f>
        <v>3076.3829280214377</v>
      </c>
      <c r="K42" s="271">
        <f t="shared" si="5"/>
        <v>48884.889999999985</v>
      </c>
      <c r="L42" s="271">
        <f t="shared" si="6"/>
        <v>6835.8473197366311</v>
      </c>
      <c r="M42" s="355" t="s">
        <v>859</v>
      </c>
      <c r="N42" s="45">
        <f>N41-J42</f>
        <v>6835.8473197366311</v>
      </c>
    </row>
    <row r="43" spans="1:14" s="5" customFormat="1" ht="13.5" customHeight="1">
      <c r="A43" s="263">
        <v>45142</v>
      </c>
      <c r="B43" s="321" t="s">
        <v>456</v>
      </c>
      <c r="C43" s="355"/>
      <c r="D43" s="290">
        <v>13</v>
      </c>
      <c r="E43" s="355" t="s">
        <v>107</v>
      </c>
      <c r="F43" s="355"/>
      <c r="G43" s="271"/>
      <c r="H43" s="271"/>
      <c r="I43" s="275">
        <v>15000</v>
      </c>
      <c r="J43" s="361">
        <f>I43/'통장내역(환율표)'!$D$116</f>
        <v>2097.5338145600713</v>
      </c>
      <c r="K43" s="271">
        <f t="shared" si="5"/>
        <v>33884.889999999985</v>
      </c>
      <c r="L43" s="271">
        <f t="shared" si="6"/>
        <v>4738.3135051765603</v>
      </c>
      <c r="M43" s="355" t="s">
        <v>247</v>
      </c>
      <c r="N43" s="45">
        <f>N42-J43</f>
        <v>4738.3135051765603</v>
      </c>
    </row>
    <row r="44" spans="1:14" s="5" customFormat="1" ht="13.5" customHeight="1">
      <c r="A44" s="263">
        <v>45142</v>
      </c>
      <c r="B44" s="321" t="s">
        <v>457</v>
      </c>
      <c r="C44" s="355"/>
      <c r="D44" s="290">
        <v>13</v>
      </c>
      <c r="E44" s="355" t="s">
        <v>107</v>
      </c>
      <c r="F44" s="355"/>
      <c r="G44" s="271"/>
      <c r="H44" s="271"/>
      <c r="I44" s="275">
        <v>22000</v>
      </c>
      <c r="J44" s="361">
        <f>I44/'통장내역(환율표)'!$D$116</f>
        <v>3076.3829280214377</v>
      </c>
      <c r="K44" s="271">
        <f t="shared" si="5"/>
        <v>11884.889999999985</v>
      </c>
      <c r="L44" s="271">
        <f t="shared" si="6"/>
        <v>1661.9305771551226</v>
      </c>
      <c r="M44" s="355" t="s">
        <v>247</v>
      </c>
      <c r="N44" s="45">
        <f>N43-J44</f>
        <v>1661.9305771551226</v>
      </c>
    </row>
    <row r="45" spans="1:14" s="5" customFormat="1" ht="13.5" customHeight="1">
      <c r="A45" s="263">
        <v>45142</v>
      </c>
      <c r="B45" s="373" t="s">
        <v>250</v>
      </c>
      <c r="C45" s="355"/>
      <c r="D45" s="290">
        <v>14</v>
      </c>
      <c r="E45" s="355" t="s">
        <v>107</v>
      </c>
      <c r="F45" s="355"/>
      <c r="G45" s="271"/>
      <c r="H45" s="271"/>
      <c r="I45" s="275">
        <v>7.2</v>
      </c>
      <c r="J45" s="361">
        <f>I45/'통장내역(환율표)'!$D$116</f>
        <v>1.0068162309888342</v>
      </c>
      <c r="K45" s="271">
        <f t="shared" si="5"/>
        <v>11877.689999999984</v>
      </c>
      <c r="L45" s="271">
        <f t="shared" si="6"/>
        <v>1660.9237609241338</v>
      </c>
      <c r="M45" s="355"/>
      <c r="N45" s="45">
        <f>N44-J45</f>
        <v>1660.9237609241338</v>
      </c>
    </row>
    <row r="46" spans="1:14" s="5" customFormat="1" ht="13.5" customHeight="1">
      <c r="A46" s="410">
        <v>45149</v>
      </c>
      <c r="B46" s="411" t="s">
        <v>834</v>
      </c>
      <c r="C46" s="412"/>
      <c r="D46" s="413"/>
      <c r="E46" s="412"/>
      <c r="F46" s="412"/>
      <c r="G46" s="414">
        <v>435489.27</v>
      </c>
      <c r="H46" s="414">
        <v>60399</v>
      </c>
      <c r="I46" s="415"/>
      <c r="J46" s="416"/>
      <c r="K46" s="415">
        <f t="shared" si="5"/>
        <v>447366.96</v>
      </c>
      <c r="L46" s="415">
        <f t="shared" si="6"/>
        <v>62059.923760924132</v>
      </c>
      <c r="M46" s="412" t="s">
        <v>823</v>
      </c>
      <c r="N46" s="45"/>
    </row>
    <row r="47" spans="1:14" s="5" customFormat="1" ht="13.5" customHeight="1">
      <c r="A47" s="410">
        <v>45149</v>
      </c>
      <c r="B47" s="411" t="s">
        <v>250</v>
      </c>
      <c r="C47" s="412"/>
      <c r="D47" s="413">
        <v>15</v>
      </c>
      <c r="E47" s="412" t="s">
        <v>107</v>
      </c>
      <c r="F47" s="412"/>
      <c r="G47" s="414"/>
      <c r="H47" s="414"/>
      <c r="I47" s="415"/>
      <c r="J47" s="417">
        <v>26</v>
      </c>
      <c r="K47" s="415">
        <f t="shared" si="5"/>
        <v>447366.96</v>
      </c>
      <c r="L47" s="415">
        <f t="shared" si="6"/>
        <v>62033.923760924132</v>
      </c>
      <c r="M47" s="412"/>
      <c r="N47" s="45"/>
    </row>
    <row r="48" spans="1:14" s="5" customFormat="1" ht="13.5" customHeight="1">
      <c r="A48" s="263">
        <v>45156</v>
      </c>
      <c r="B48" s="373" t="s">
        <v>835</v>
      </c>
      <c r="C48" s="355"/>
      <c r="D48" s="290">
        <v>16</v>
      </c>
      <c r="E48" s="355" t="s">
        <v>146</v>
      </c>
      <c r="F48" s="355" t="s">
        <v>147</v>
      </c>
      <c r="G48" s="271"/>
      <c r="H48" s="271"/>
      <c r="I48" s="275">
        <v>6965.27</v>
      </c>
      <c r="J48" s="361">
        <f>I48/'통장내역(환율표)'!$D$116</f>
        <v>973.99262350272181</v>
      </c>
      <c r="K48" s="271">
        <f t="shared" si="5"/>
        <v>440401.69</v>
      </c>
      <c r="L48" s="271">
        <f t="shared" si="6"/>
        <v>61059.931137421408</v>
      </c>
      <c r="M48" s="355" t="s">
        <v>824</v>
      </c>
      <c r="N48" s="45">
        <f>N45-J48</f>
        <v>686.93113742141202</v>
      </c>
    </row>
    <row r="49" spans="1:14" s="5" customFormat="1" ht="13.5" customHeight="1">
      <c r="A49" s="263">
        <v>45156</v>
      </c>
      <c r="B49" s="373" t="s">
        <v>250</v>
      </c>
      <c r="C49" s="355"/>
      <c r="D49" s="290">
        <v>17</v>
      </c>
      <c r="E49" s="355" t="s">
        <v>107</v>
      </c>
      <c r="F49" s="355"/>
      <c r="G49" s="271"/>
      <c r="H49" s="271"/>
      <c r="I49" s="275">
        <v>3.6</v>
      </c>
      <c r="J49" s="361">
        <f>I49/'통장내역(환율표)'!$D$116</f>
        <v>0.50340811549441711</v>
      </c>
      <c r="K49" s="271">
        <f t="shared" si="5"/>
        <v>440398.09</v>
      </c>
      <c r="L49" s="271">
        <f t="shared" si="6"/>
        <v>61059.427729305913</v>
      </c>
      <c r="M49" s="355"/>
      <c r="N49" s="45">
        <f>N48-J49</f>
        <v>686.42772930591764</v>
      </c>
    </row>
    <row r="50" spans="1:14" s="5" customFormat="1" ht="13.5" customHeight="1">
      <c r="A50" s="263">
        <v>45156</v>
      </c>
      <c r="B50" s="373" t="s">
        <v>836</v>
      </c>
      <c r="C50" s="355"/>
      <c r="D50" s="290">
        <v>18</v>
      </c>
      <c r="E50" s="355" t="s">
        <v>294</v>
      </c>
      <c r="F50" s="355" t="s">
        <v>322</v>
      </c>
      <c r="G50" s="271"/>
      <c r="H50" s="271"/>
      <c r="I50" s="275">
        <f>J50*'통장내역(환율표)'!$D$116</f>
        <v>4908.8199999999979</v>
      </c>
      <c r="J50" s="361">
        <v>686.42772930591764</v>
      </c>
      <c r="K50" s="271">
        <f t="shared" si="5"/>
        <v>435489.27</v>
      </c>
      <c r="L50" s="271">
        <f t="shared" si="6"/>
        <v>60372.999999999993</v>
      </c>
      <c r="M50" s="355" t="s">
        <v>825</v>
      </c>
      <c r="N50" s="45">
        <f>N49-J50</f>
        <v>0</v>
      </c>
    </row>
    <row r="51" spans="1:14" s="5" customFormat="1" ht="13.5" customHeight="1">
      <c r="A51" s="263">
        <v>45156</v>
      </c>
      <c r="B51" s="373" t="s">
        <v>836</v>
      </c>
      <c r="C51" s="355"/>
      <c r="D51" s="290">
        <v>18</v>
      </c>
      <c r="E51" s="355" t="s">
        <v>294</v>
      </c>
      <c r="F51" s="355" t="s">
        <v>322</v>
      </c>
      <c r="G51" s="271"/>
      <c r="H51" s="271"/>
      <c r="I51" s="275">
        <f>7294.92-I50</f>
        <v>2386.1000000000022</v>
      </c>
      <c r="J51" s="417">
        <f>I51/'통장내역(환율표)'!$D$120</f>
        <v>330.7911933168873</v>
      </c>
      <c r="K51" s="271">
        <f t="shared" si="5"/>
        <v>433103.17000000004</v>
      </c>
      <c r="L51" s="271">
        <f t="shared" si="6"/>
        <v>60042.208806683106</v>
      </c>
      <c r="M51" s="355"/>
      <c r="N51" s="45">
        <f>H46-J47-J51</f>
        <v>60042.208806683113</v>
      </c>
    </row>
    <row r="52" spans="1:14" s="5" customFormat="1" ht="13.5" customHeight="1">
      <c r="A52" s="263">
        <v>45156</v>
      </c>
      <c r="B52" s="373" t="s">
        <v>250</v>
      </c>
      <c r="C52" s="355"/>
      <c r="D52" s="290">
        <v>19</v>
      </c>
      <c r="E52" s="355" t="s">
        <v>107</v>
      </c>
      <c r="F52" s="355"/>
      <c r="G52" s="271"/>
      <c r="H52" s="271"/>
      <c r="I52" s="275">
        <v>3.6</v>
      </c>
      <c r="J52" s="417">
        <f>I52/'통장내역(환율표)'!$D$120</f>
        <v>0.49907727921746498</v>
      </c>
      <c r="K52" s="271">
        <f t="shared" si="5"/>
        <v>433099.57000000007</v>
      </c>
      <c r="L52" s="271">
        <f t="shared" si="6"/>
        <v>60041.70972940389</v>
      </c>
      <c r="M52" s="355"/>
      <c r="N52" s="45">
        <f>N51-J52</f>
        <v>60041.709729403898</v>
      </c>
    </row>
    <row r="53" spans="1:14" s="5" customFormat="1" ht="13.5" customHeight="1">
      <c r="A53" s="263">
        <v>45156</v>
      </c>
      <c r="B53" s="373" t="s">
        <v>850</v>
      </c>
      <c r="C53" s="355"/>
      <c r="D53" s="290">
        <v>20</v>
      </c>
      <c r="E53" s="355" t="s">
        <v>294</v>
      </c>
      <c r="F53" s="355" t="s">
        <v>322</v>
      </c>
      <c r="G53" s="271"/>
      <c r="H53" s="271"/>
      <c r="I53" s="275">
        <v>3987.63</v>
      </c>
      <c r="J53" s="417">
        <f>I53/'통장내역(환율표)'!$D$120</f>
        <v>552.81542525720556</v>
      </c>
      <c r="K53" s="271">
        <f t="shared" si="5"/>
        <v>429111.94000000006</v>
      </c>
      <c r="L53" s="271">
        <f t="shared" si="6"/>
        <v>59488.894304146685</v>
      </c>
      <c r="M53" s="355"/>
      <c r="N53" s="45">
        <f t="shared" ref="N53:N121" si="7">N52-J53</f>
        <v>59488.894304146692</v>
      </c>
    </row>
    <row r="54" spans="1:14" s="5" customFormat="1" ht="13.5" customHeight="1">
      <c r="A54" s="263">
        <v>45156</v>
      </c>
      <c r="B54" s="373" t="s">
        <v>851</v>
      </c>
      <c r="C54" s="355"/>
      <c r="D54" s="290">
        <v>21</v>
      </c>
      <c r="E54" s="355" t="s">
        <v>296</v>
      </c>
      <c r="F54" s="355" t="s">
        <v>327</v>
      </c>
      <c r="G54" s="271"/>
      <c r="H54" s="271"/>
      <c r="I54" s="275">
        <v>98</v>
      </c>
      <c r="J54" s="417">
        <f>I54/'통장내역(환율표)'!$D$120</f>
        <v>13.58599260091988</v>
      </c>
      <c r="K54" s="271">
        <f t="shared" si="5"/>
        <v>429013.94000000006</v>
      </c>
      <c r="L54" s="271">
        <f t="shared" si="6"/>
        <v>59475.308311545763</v>
      </c>
      <c r="M54" s="355"/>
      <c r="N54" s="45">
        <f t="shared" si="7"/>
        <v>59475.30831154577</v>
      </c>
    </row>
    <row r="55" spans="1:14" s="5" customFormat="1" ht="13.5" customHeight="1">
      <c r="A55" s="263">
        <v>45156</v>
      </c>
      <c r="B55" s="373" t="s">
        <v>852</v>
      </c>
      <c r="C55" s="355"/>
      <c r="D55" s="290">
        <v>22</v>
      </c>
      <c r="E55" s="355" t="s">
        <v>107</v>
      </c>
      <c r="F55" s="355"/>
      <c r="G55" s="271"/>
      <c r="H55" s="271"/>
      <c r="I55" s="275">
        <v>127.9</v>
      </c>
      <c r="J55" s="417">
        <f>I55/'통장내역(환율표)'!$D$120</f>
        <v>17.731106669976047</v>
      </c>
      <c r="K55" s="271">
        <f t="shared" si="5"/>
        <v>428886.04000000004</v>
      </c>
      <c r="L55" s="271">
        <f t="shared" si="6"/>
        <v>59457.577204875786</v>
      </c>
      <c r="M55" s="355"/>
      <c r="N55" s="45">
        <f t="shared" si="7"/>
        <v>59457.577204875794</v>
      </c>
    </row>
    <row r="56" spans="1:14" s="5" customFormat="1" ht="13.5" customHeight="1">
      <c r="A56" s="263">
        <v>45156</v>
      </c>
      <c r="B56" s="373" t="s">
        <v>853</v>
      </c>
      <c r="C56" s="355"/>
      <c r="D56" s="290">
        <v>23</v>
      </c>
      <c r="E56" s="355" t="s">
        <v>294</v>
      </c>
      <c r="F56" s="355" t="s">
        <v>322</v>
      </c>
      <c r="G56" s="271"/>
      <c r="H56" s="271"/>
      <c r="I56" s="275">
        <v>1261.46</v>
      </c>
      <c r="J56" s="417">
        <f>I56/'통장내역(환율표)'!$D$120</f>
        <v>174.87945128935092</v>
      </c>
      <c r="K56" s="271">
        <f t="shared" si="5"/>
        <v>427624.58</v>
      </c>
      <c r="L56" s="271">
        <f t="shared" si="6"/>
        <v>59282.697753586435</v>
      </c>
      <c r="M56" s="355"/>
      <c r="N56" s="45">
        <f t="shared" si="7"/>
        <v>59282.697753586443</v>
      </c>
    </row>
    <row r="57" spans="1:14" s="5" customFormat="1" ht="13.5" customHeight="1">
      <c r="A57" s="263">
        <v>45156</v>
      </c>
      <c r="B57" s="373" t="s">
        <v>250</v>
      </c>
      <c r="C57" s="355"/>
      <c r="D57" s="290">
        <v>24</v>
      </c>
      <c r="E57" s="355" t="s">
        <v>107</v>
      </c>
      <c r="F57" s="355"/>
      <c r="G57" s="271"/>
      <c r="H57" s="271"/>
      <c r="I57" s="275">
        <v>3.6</v>
      </c>
      <c r="J57" s="417">
        <f>I57/'통장내역(환율표)'!$D$120</f>
        <v>0.49907727921746498</v>
      </c>
      <c r="K57" s="271">
        <f t="shared" si="5"/>
        <v>427620.98000000004</v>
      </c>
      <c r="L57" s="271">
        <f t="shared" si="6"/>
        <v>59282.19867630722</v>
      </c>
      <c r="M57" s="355"/>
      <c r="N57" s="45">
        <f t="shared" si="7"/>
        <v>59282.198676307227</v>
      </c>
    </row>
    <row r="58" spans="1:14" s="5" customFormat="1" ht="13.5" customHeight="1">
      <c r="A58" s="263">
        <v>45156</v>
      </c>
      <c r="B58" s="373" t="s">
        <v>660</v>
      </c>
      <c r="C58" s="355"/>
      <c r="D58" s="290">
        <v>25</v>
      </c>
      <c r="E58" s="355" t="s">
        <v>107</v>
      </c>
      <c r="F58" s="355"/>
      <c r="G58" s="271"/>
      <c r="H58" s="271"/>
      <c r="I58" s="271">
        <v>1205.76</v>
      </c>
      <c r="J58" s="417">
        <f>I58/'통장내역(환율표)'!$D$120</f>
        <v>167.15761671923627</v>
      </c>
      <c r="K58" s="271">
        <f t="shared" si="5"/>
        <v>426415.22000000003</v>
      </c>
      <c r="L58" s="271">
        <f t="shared" si="6"/>
        <v>59115.04105958798</v>
      </c>
      <c r="M58" s="355" t="s">
        <v>699</v>
      </c>
      <c r="N58" s="45">
        <f t="shared" si="7"/>
        <v>59115.041059587988</v>
      </c>
    </row>
    <row r="59" spans="1:14" s="5" customFormat="1" ht="13.5" customHeight="1">
      <c r="A59" s="263">
        <v>45156</v>
      </c>
      <c r="B59" s="373" t="s">
        <v>250</v>
      </c>
      <c r="C59" s="355"/>
      <c r="D59" s="290">
        <v>26</v>
      </c>
      <c r="E59" s="355" t="s">
        <v>107</v>
      </c>
      <c r="F59" s="355"/>
      <c r="G59" s="271"/>
      <c r="H59" s="271"/>
      <c r="I59" s="271">
        <v>3.6</v>
      </c>
      <c r="J59" s="417">
        <f>I59/'통장내역(환율표)'!$D$120</f>
        <v>0.49907727921746498</v>
      </c>
      <c r="K59" s="271">
        <f t="shared" si="5"/>
        <v>426411.62000000005</v>
      </c>
      <c r="L59" s="271">
        <f t="shared" si="6"/>
        <v>59114.541982308765</v>
      </c>
      <c r="M59" s="355"/>
      <c r="N59" s="45">
        <f t="shared" si="7"/>
        <v>59114.541982308772</v>
      </c>
    </row>
    <row r="60" spans="1:14" s="5" customFormat="1" ht="13.5" customHeight="1">
      <c r="A60" s="263">
        <v>45156</v>
      </c>
      <c r="B60" s="373" t="s">
        <v>789</v>
      </c>
      <c r="C60" s="355"/>
      <c r="D60" s="290">
        <v>27</v>
      </c>
      <c r="E60" s="355" t="s">
        <v>107</v>
      </c>
      <c r="F60" s="355"/>
      <c r="G60" s="271"/>
      <c r="H60" s="271"/>
      <c r="I60" s="275">
        <v>1010</v>
      </c>
      <c r="J60" s="417">
        <f>I60/'통장내역(환율표)'!$D$120</f>
        <v>140.01890333601099</v>
      </c>
      <c r="K60" s="271">
        <f t="shared" si="5"/>
        <v>425401.62000000005</v>
      </c>
      <c r="L60" s="271">
        <f t="shared" si="6"/>
        <v>58974.523078972758</v>
      </c>
      <c r="M60" s="355" t="s">
        <v>700</v>
      </c>
      <c r="N60" s="45">
        <f t="shared" si="7"/>
        <v>58974.523078972765</v>
      </c>
    </row>
    <row r="61" spans="1:14" s="5" customFormat="1" ht="13.5" customHeight="1">
      <c r="A61" s="263">
        <v>45156</v>
      </c>
      <c r="B61" s="373" t="s">
        <v>250</v>
      </c>
      <c r="C61" s="355"/>
      <c r="D61" s="290">
        <v>28</v>
      </c>
      <c r="E61" s="355" t="s">
        <v>107</v>
      </c>
      <c r="F61" s="355"/>
      <c r="G61" s="271"/>
      <c r="H61" s="271"/>
      <c r="I61" s="275">
        <v>3.6</v>
      </c>
      <c r="J61" s="417">
        <f>I61/'통장내역(환율표)'!$D$120</f>
        <v>0.49907727921746498</v>
      </c>
      <c r="K61" s="271">
        <f t="shared" si="5"/>
        <v>425398.02000000008</v>
      </c>
      <c r="L61" s="271">
        <f t="shared" si="6"/>
        <v>58974.024001693542</v>
      </c>
      <c r="M61" s="355"/>
      <c r="N61" s="45">
        <f t="shared" si="7"/>
        <v>58974.02400169355</v>
      </c>
    </row>
    <row r="62" spans="1:14" s="5" customFormat="1" ht="13.5" customHeight="1">
      <c r="A62" s="263">
        <v>45156</v>
      </c>
      <c r="B62" s="321" t="s">
        <v>346</v>
      </c>
      <c r="C62" s="355"/>
      <c r="D62" s="290">
        <v>29</v>
      </c>
      <c r="E62" s="355" t="s">
        <v>105</v>
      </c>
      <c r="F62" s="355" t="s">
        <v>320</v>
      </c>
      <c r="G62" s="271"/>
      <c r="H62" s="271"/>
      <c r="I62" s="38">
        <v>10500</v>
      </c>
      <c r="J62" s="417">
        <f>I62/'통장내역(환율표)'!$D$120</f>
        <v>1455.6420643842728</v>
      </c>
      <c r="K62" s="271">
        <f t="shared" si="5"/>
        <v>414898.02000000008</v>
      </c>
      <c r="L62" s="271">
        <f t="shared" si="6"/>
        <v>57518.38193730927</v>
      </c>
      <c r="M62" s="355"/>
      <c r="N62" s="45">
        <f t="shared" si="7"/>
        <v>57518.381937309277</v>
      </c>
    </row>
    <row r="63" spans="1:14" s="5" customFormat="1" ht="13.5" customHeight="1">
      <c r="A63" s="263">
        <v>45156</v>
      </c>
      <c r="B63" s="321" t="s">
        <v>347</v>
      </c>
      <c r="C63" s="355"/>
      <c r="D63" s="290">
        <v>30</v>
      </c>
      <c r="E63" s="355" t="s">
        <v>107</v>
      </c>
      <c r="F63" s="355"/>
      <c r="G63" s="271"/>
      <c r="H63" s="271"/>
      <c r="I63" s="38">
        <v>6000</v>
      </c>
      <c r="J63" s="417">
        <f>I63/'통장내역(환율표)'!$D$120</f>
        <v>831.79546536244163</v>
      </c>
      <c r="K63" s="271">
        <f t="shared" si="5"/>
        <v>408898.02000000008</v>
      </c>
      <c r="L63" s="271">
        <f t="shared" si="6"/>
        <v>56686.58647194683</v>
      </c>
      <c r="M63" s="355"/>
      <c r="N63" s="45">
        <f t="shared" si="7"/>
        <v>56686.586471946837</v>
      </c>
    </row>
    <row r="64" spans="1:14" s="5" customFormat="1" ht="13.5" customHeight="1">
      <c r="A64" s="263">
        <v>45156</v>
      </c>
      <c r="B64" s="321" t="s">
        <v>351</v>
      </c>
      <c r="C64" s="355"/>
      <c r="D64" s="290">
        <v>31</v>
      </c>
      <c r="E64" s="355" t="s">
        <v>107</v>
      </c>
      <c r="F64" s="355"/>
      <c r="G64" s="271"/>
      <c r="H64" s="271"/>
      <c r="I64" s="275">
        <v>770</v>
      </c>
      <c r="J64" s="417">
        <f>I64/'통장내역(환율표)'!$D$120</f>
        <v>106.74708472151333</v>
      </c>
      <c r="K64" s="271">
        <f>K63+G64-I64</f>
        <v>408128.02000000008</v>
      </c>
      <c r="L64" s="271">
        <f t="shared" si="6"/>
        <v>56579.839387225315</v>
      </c>
      <c r="M64" s="355"/>
      <c r="N64" s="45">
        <f t="shared" si="7"/>
        <v>56579.839387225322</v>
      </c>
    </row>
    <row r="65" spans="1:14" s="5" customFormat="1" ht="13.5" customHeight="1">
      <c r="A65" s="263">
        <v>45156</v>
      </c>
      <c r="B65" s="321" t="s">
        <v>250</v>
      </c>
      <c r="C65" s="355"/>
      <c r="D65" s="290">
        <v>32</v>
      </c>
      <c r="E65" s="355" t="s">
        <v>107</v>
      </c>
      <c r="F65" s="355"/>
      <c r="G65" s="271"/>
      <c r="H65" s="271"/>
      <c r="I65" s="275">
        <v>7.2</v>
      </c>
      <c r="J65" s="417">
        <f>I65/'통장내역(환율표)'!$D$120</f>
        <v>0.99815455843492995</v>
      </c>
      <c r="K65" s="271">
        <f t="shared" si="5"/>
        <v>408120.82000000007</v>
      </c>
      <c r="L65" s="271">
        <f t="shared" si="6"/>
        <v>56578.841232666877</v>
      </c>
      <c r="M65" s="355"/>
      <c r="N65" s="45">
        <f t="shared" si="7"/>
        <v>56578.841232666884</v>
      </c>
    </row>
    <row r="66" spans="1:14" s="5" customFormat="1" ht="13.5" customHeight="1">
      <c r="A66" s="263">
        <v>45156</v>
      </c>
      <c r="B66" s="373" t="s">
        <v>460</v>
      </c>
      <c r="C66" s="355"/>
      <c r="D66" s="290">
        <v>33</v>
      </c>
      <c r="E66" s="355" t="s">
        <v>105</v>
      </c>
      <c r="F66" s="355" t="s">
        <v>106</v>
      </c>
      <c r="G66" s="271"/>
      <c r="H66" s="271"/>
      <c r="I66" s="275">
        <v>20023</v>
      </c>
      <c r="J66" s="417">
        <f>I66/'통장내역(환율표)'!$D$120</f>
        <v>2775.8401004920279</v>
      </c>
      <c r="K66" s="271">
        <f t="shared" si="5"/>
        <v>388097.82000000007</v>
      </c>
      <c r="L66" s="271">
        <f t="shared" si="6"/>
        <v>53803.001132174846</v>
      </c>
      <c r="M66" s="355" t="s">
        <v>240</v>
      </c>
      <c r="N66" s="45">
        <f t="shared" si="7"/>
        <v>53803.001132174853</v>
      </c>
    </row>
    <row r="67" spans="1:14" s="5" customFormat="1" ht="13.5" customHeight="1">
      <c r="A67" s="263">
        <v>45156</v>
      </c>
      <c r="B67" s="321" t="s">
        <v>250</v>
      </c>
      <c r="C67" s="355"/>
      <c r="D67" s="290">
        <v>34</v>
      </c>
      <c r="E67" s="355" t="s">
        <v>107</v>
      </c>
      <c r="F67" s="355"/>
      <c r="G67" s="271"/>
      <c r="H67" s="271"/>
      <c r="I67" s="275">
        <v>7.2</v>
      </c>
      <c r="J67" s="417">
        <f>I67/'통장내역(환율표)'!$D$120</f>
        <v>0.99815455843492995</v>
      </c>
      <c r="K67" s="271">
        <f t="shared" si="5"/>
        <v>388090.62000000005</v>
      </c>
      <c r="L67" s="271">
        <f t="shared" si="6"/>
        <v>53802.002977616408</v>
      </c>
      <c r="M67" s="355"/>
      <c r="N67" s="45">
        <f t="shared" si="7"/>
        <v>53802.002977616416</v>
      </c>
    </row>
    <row r="68" spans="1:14" s="5" customFormat="1" ht="13.5" customHeight="1">
      <c r="A68" s="263">
        <v>45156</v>
      </c>
      <c r="B68" s="343" t="s">
        <v>715</v>
      </c>
      <c r="C68" s="355"/>
      <c r="D68" s="290">
        <v>35</v>
      </c>
      <c r="E68" s="355" t="s">
        <v>294</v>
      </c>
      <c r="F68" s="355" t="s">
        <v>322</v>
      </c>
      <c r="G68" s="271"/>
      <c r="H68" s="271"/>
      <c r="I68" s="275">
        <v>3460</v>
      </c>
      <c r="J68" s="417">
        <f>I68/'통장내역(환율표)'!$D$120</f>
        <v>479.66871835900798</v>
      </c>
      <c r="K68" s="271">
        <f t="shared" si="5"/>
        <v>384630.62000000005</v>
      </c>
      <c r="L68" s="271">
        <f t="shared" si="6"/>
        <v>53322.334259257397</v>
      </c>
      <c r="M68" s="355"/>
      <c r="N68" s="45">
        <f t="shared" si="7"/>
        <v>53322.334259257404</v>
      </c>
    </row>
    <row r="69" spans="1:14" s="5" customFormat="1" ht="13.5" customHeight="1">
      <c r="A69" s="263">
        <v>45156</v>
      </c>
      <c r="B69" s="343" t="s">
        <v>714</v>
      </c>
      <c r="C69" s="355"/>
      <c r="D69" s="290">
        <v>36</v>
      </c>
      <c r="E69" s="355" t="s">
        <v>294</v>
      </c>
      <c r="F69" s="355" t="s">
        <v>322</v>
      </c>
      <c r="G69" s="271"/>
      <c r="H69" s="271"/>
      <c r="I69" s="275">
        <v>1119</v>
      </c>
      <c r="J69" s="417">
        <f>I69/'통장내역(환율표)'!$D$120</f>
        <v>155.12985429009535</v>
      </c>
      <c r="K69" s="271">
        <f t="shared" si="5"/>
        <v>383511.62000000005</v>
      </c>
      <c r="L69" s="271">
        <f t="shared" si="6"/>
        <v>53167.204404967299</v>
      </c>
      <c r="M69" s="355"/>
      <c r="N69" s="45">
        <f t="shared" si="7"/>
        <v>53167.204404967306</v>
      </c>
    </row>
    <row r="70" spans="1:14" s="5" customFormat="1" ht="13.5" customHeight="1">
      <c r="A70" s="263">
        <v>45156</v>
      </c>
      <c r="B70" s="343" t="s">
        <v>716</v>
      </c>
      <c r="C70" s="355"/>
      <c r="D70" s="290">
        <v>37</v>
      </c>
      <c r="E70" s="355" t="s">
        <v>294</v>
      </c>
      <c r="F70" s="355" t="s">
        <v>322</v>
      </c>
      <c r="G70" s="271"/>
      <c r="H70" s="271"/>
      <c r="I70" s="275">
        <v>336</v>
      </c>
      <c r="J70" s="417">
        <f>I70/'통장내역(환율표)'!$D$120</f>
        <v>46.580546060296726</v>
      </c>
      <c r="K70" s="271">
        <f t="shared" si="5"/>
        <v>383175.62000000005</v>
      </c>
      <c r="L70" s="271">
        <f t="shared" si="6"/>
        <v>53120.623858907005</v>
      </c>
      <c r="M70" s="355"/>
      <c r="N70" s="45">
        <f t="shared" si="7"/>
        <v>53120.623858907013</v>
      </c>
    </row>
    <row r="71" spans="1:14" s="5" customFormat="1" ht="13.5" customHeight="1">
      <c r="A71" s="263">
        <v>45156</v>
      </c>
      <c r="B71" s="321" t="s">
        <v>250</v>
      </c>
      <c r="C71" s="355"/>
      <c r="D71" s="290">
        <v>38</v>
      </c>
      <c r="E71" s="355" t="s">
        <v>107</v>
      </c>
      <c r="F71" s="355"/>
      <c r="G71" s="271"/>
      <c r="H71" s="271"/>
      <c r="I71" s="275">
        <v>3.6</v>
      </c>
      <c r="J71" s="417">
        <f>I71/'통장내역(환율표)'!$D$120</f>
        <v>0.49907727921746498</v>
      </c>
      <c r="K71" s="271">
        <f t="shared" si="5"/>
        <v>383172.02000000008</v>
      </c>
      <c r="L71" s="271">
        <f t="shared" si="6"/>
        <v>53120.12478162779</v>
      </c>
      <c r="M71" s="355"/>
      <c r="N71" s="45">
        <f t="shared" si="7"/>
        <v>53120.124781627797</v>
      </c>
    </row>
    <row r="72" spans="1:14" s="5" customFormat="1" ht="13.5" customHeight="1">
      <c r="A72" s="263">
        <v>45156</v>
      </c>
      <c r="B72" s="373" t="s">
        <v>837</v>
      </c>
      <c r="C72" s="355"/>
      <c r="D72" s="290">
        <v>39</v>
      </c>
      <c r="E72" s="355" t="s">
        <v>294</v>
      </c>
      <c r="F72" s="355" t="s">
        <v>322</v>
      </c>
      <c r="G72" s="271"/>
      <c r="H72" s="271"/>
      <c r="I72" s="271">
        <v>85.17</v>
      </c>
      <c r="J72" s="417">
        <f>I72/'통장내역(환율표)'!$D$120</f>
        <v>11.807336630819858</v>
      </c>
      <c r="K72" s="271">
        <f t="shared" si="5"/>
        <v>383086.85000000009</v>
      </c>
      <c r="L72" s="271">
        <f t="shared" si="6"/>
        <v>53108.317444996974</v>
      </c>
      <c r="M72" s="355" t="s">
        <v>704</v>
      </c>
      <c r="N72" s="45">
        <f t="shared" si="7"/>
        <v>53108.317444996981</v>
      </c>
    </row>
    <row r="73" spans="1:14" s="5" customFormat="1" ht="13.5" customHeight="1">
      <c r="A73" s="263">
        <v>45156</v>
      </c>
      <c r="B73" s="321" t="s">
        <v>250</v>
      </c>
      <c r="C73" s="355"/>
      <c r="D73" s="290">
        <v>40</v>
      </c>
      <c r="E73" s="355" t="s">
        <v>107</v>
      </c>
      <c r="F73" s="355"/>
      <c r="G73" s="271"/>
      <c r="H73" s="271"/>
      <c r="I73" s="271">
        <v>3.6</v>
      </c>
      <c r="J73" s="417">
        <f>I73/'통장내역(환율표)'!$D$120</f>
        <v>0.49907727921746498</v>
      </c>
      <c r="K73" s="271">
        <f t="shared" si="5"/>
        <v>383083.25000000012</v>
      </c>
      <c r="L73" s="271">
        <f t="shared" si="6"/>
        <v>53107.818367717759</v>
      </c>
      <c r="M73" s="355"/>
      <c r="N73" s="45">
        <f t="shared" si="7"/>
        <v>53107.818367717766</v>
      </c>
    </row>
    <row r="74" spans="1:14" s="5" customFormat="1" ht="13.5" customHeight="1">
      <c r="A74" s="263">
        <v>45156</v>
      </c>
      <c r="B74" s="373" t="s">
        <v>838</v>
      </c>
      <c r="C74" s="355"/>
      <c r="D74" s="290">
        <v>41</v>
      </c>
      <c r="E74" s="355" t="s">
        <v>107</v>
      </c>
      <c r="F74" s="355"/>
      <c r="G74" s="271"/>
      <c r="H74" s="271"/>
      <c r="I74" s="271">
        <v>5396</v>
      </c>
      <c r="J74" s="417">
        <f>I74/'통장내역(환율표)'!$D$120</f>
        <v>748.06138851595585</v>
      </c>
      <c r="K74" s="271">
        <f t="shared" si="5"/>
        <v>377687.25000000012</v>
      </c>
      <c r="L74" s="271">
        <f t="shared" si="6"/>
        <v>52359.756979201804</v>
      </c>
      <c r="M74" s="355" t="s">
        <v>826</v>
      </c>
      <c r="N74" s="45">
        <f t="shared" si="7"/>
        <v>52359.756979201811</v>
      </c>
    </row>
    <row r="75" spans="1:14" s="5" customFormat="1" ht="13.5" customHeight="1">
      <c r="A75" s="263">
        <v>45156</v>
      </c>
      <c r="B75" s="321" t="s">
        <v>250</v>
      </c>
      <c r="C75" s="355"/>
      <c r="D75" s="290">
        <v>42</v>
      </c>
      <c r="E75" s="355" t="s">
        <v>107</v>
      </c>
      <c r="F75" s="355"/>
      <c r="G75" s="271"/>
      <c r="H75" s="271"/>
      <c r="I75" s="271">
        <v>3.6</v>
      </c>
      <c r="J75" s="417">
        <f>I75/'통장내역(환율표)'!$D$120</f>
        <v>0.49907727921746498</v>
      </c>
      <c r="K75" s="271">
        <f t="shared" si="5"/>
        <v>377683.65000000014</v>
      </c>
      <c r="L75" s="271">
        <f t="shared" si="6"/>
        <v>52359.257901922589</v>
      </c>
      <c r="M75" s="355"/>
      <c r="N75" s="45">
        <f t="shared" si="7"/>
        <v>52359.257901922596</v>
      </c>
    </row>
    <row r="76" spans="1:14" s="5" customFormat="1" ht="12.75" customHeight="1">
      <c r="A76" s="263">
        <v>45156</v>
      </c>
      <c r="B76" s="373" t="s">
        <v>839</v>
      </c>
      <c r="C76" s="355"/>
      <c r="D76" s="290">
        <v>43</v>
      </c>
      <c r="E76" s="355" t="s">
        <v>125</v>
      </c>
      <c r="F76" s="355" t="s">
        <v>145</v>
      </c>
      <c r="G76" s="271"/>
      <c r="H76" s="271"/>
      <c r="I76" s="271">
        <v>6233.25</v>
      </c>
      <c r="J76" s="417">
        <f>I76/'통장내역(환율표)'!$D$120</f>
        <v>864.13151407840655</v>
      </c>
      <c r="K76" s="271">
        <f t="shared" si="5"/>
        <v>371450.40000000014</v>
      </c>
      <c r="L76" s="271">
        <f t="shared" si="6"/>
        <v>51495.126387844182</v>
      </c>
      <c r="M76" s="355" t="s">
        <v>827</v>
      </c>
      <c r="N76" s="45">
        <f t="shared" si="7"/>
        <v>51495.12638784419</v>
      </c>
    </row>
    <row r="77" spans="1:14" s="5" customFormat="1" ht="12.75" customHeight="1">
      <c r="A77" s="263">
        <v>45156</v>
      </c>
      <c r="B77" s="321" t="s">
        <v>250</v>
      </c>
      <c r="C77" s="355"/>
      <c r="D77" s="290">
        <v>44</v>
      </c>
      <c r="E77" s="355" t="s">
        <v>107</v>
      </c>
      <c r="F77" s="355"/>
      <c r="G77" s="271"/>
      <c r="H77" s="271"/>
      <c r="I77" s="271">
        <v>3.6</v>
      </c>
      <c r="J77" s="417">
        <f>I77/'통장내역(환율표)'!$D$120</f>
        <v>0.49907727921746498</v>
      </c>
      <c r="K77" s="271">
        <f t="shared" si="5"/>
        <v>371446.80000000016</v>
      </c>
      <c r="L77" s="271">
        <f t="shared" si="6"/>
        <v>51494.627310564967</v>
      </c>
      <c r="M77" s="355"/>
      <c r="N77" s="45">
        <f t="shared" si="7"/>
        <v>51494.627310564974</v>
      </c>
    </row>
    <row r="78" spans="1:14" s="5" customFormat="1" ht="13.5" customHeight="1">
      <c r="A78" s="263">
        <v>45156</v>
      </c>
      <c r="B78" s="373" t="s">
        <v>840</v>
      </c>
      <c r="C78" s="355"/>
      <c r="D78" s="290">
        <v>45</v>
      </c>
      <c r="E78" s="355" t="s">
        <v>107</v>
      </c>
      <c r="F78" s="355"/>
      <c r="G78" s="271"/>
      <c r="H78" s="271"/>
      <c r="I78" s="275">
        <v>78300</v>
      </c>
      <c r="J78" s="417">
        <f>I78/'통장내역(환율표)'!$D$120</f>
        <v>10854.930822979863</v>
      </c>
      <c r="K78" s="271">
        <f t="shared" si="5"/>
        <v>293146.80000000016</v>
      </c>
      <c r="L78" s="271">
        <f t="shared" si="6"/>
        <v>40639.696487585104</v>
      </c>
      <c r="M78" s="355" t="s">
        <v>828</v>
      </c>
      <c r="N78" s="45">
        <f t="shared" si="7"/>
        <v>40639.696487585112</v>
      </c>
    </row>
    <row r="79" spans="1:14" s="5" customFormat="1" ht="13.5" customHeight="1">
      <c r="A79" s="263">
        <v>45156</v>
      </c>
      <c r="B79" s="321" t="s">
        <v>250</v>
      </c>
      <c r="C79" s="355"/>
      <c r="D79" s="290">
        <v>46</v>
      </c>
      <c r="E79" s="355" t="s">
        <v>107</v>
      </c>
      <c r="F79" s="355"/>
      <c r="G79" s="271"/>
      <c r="H79" s="271"/>
      <c r="I79" s="275">
        <v>7.2</v>
      </c>
      <c r="J79" s="417">
        <f>I79/'통장내역(환율표)'!$D$120</f>
        <v>0.99815455843492995</v>
      </c>
      <c r="K79" s="271">
        <f t="shared" si="5"/>
        <v>293139.60000000015</v>
      </c>
      <c r="L79" s="271">
        <f t="shared" si="6"/>
        <v>40638.698333026667</v>
      </c>
      <c r="M79" s="355"/>
      <c r="N79" s="45">
        <f t="shared" si="7"/>
        <v>40638.698333026674</v>
      </c>
    </row>
    <row r="80" spans="1:14" s="5" customFormat="1" ht="13.5" customHeight="1">
      <c r="A80" s="263">
        <v>45159</v>
      </c>
      <c r="B80" s="373" t="s">
        <v>841</v>
      </c>
      <c r="C80" s="355"/>
      <c r="D80" s="290">
        <v>47</v>
      </c>
      <c r="E80" s="355" t="s">
        <v>294</v>
      </c>
      <c r="F80" s="355" t="s">
        <v>322</v>
      </c>
      <c r="G80" s="271"/>
      <c r="H80" s="271"/>
      <c r="I80" s="271">
        <v>7341.92</v>
      </c>
      <c r="J80" s="417">
        <f>I80/'통장내역(환율표)'!$D$120</f>
        <v>1017.8292938423028</v>
      </c>
      <c r="K80" s="271">
        <f t="shared" si="5"/>
        <v>285797.68000000017</v>
      </c>
      <c r="L80" s="271">
        <f t="shared" si="6"/>
        <v>39620.869039184363</v>
      </c>
      <c r="M80" s="355" t="s">
        <v>829</v>
      </c>
      <c r="N80" s="45">
        <f t="shared" si="7"/>
        <v>39620.86903918437</v>
      </c>
    </row>
    <row r="81" spans="1:14" s="5" customFormat="1" ht="13.5" customHeight="1">
      <c r="A81" s="263">
        <v>45159</v>
      </c>
      <c r="B81" s="321" t="s">
        <v>250</v>
      </c>
      <c r="C81" s="355"/>
      <c r="D81" s="290">
        <v>48</v>
      </c>
      <c r="E81" s="355" t="s">
        <v>107</v>
      </c>
      <c r="F81" s="355"/>
      <c r="G81" s="271"/>
      <c r="H81" s="271"/>
      <c r="I81" s="271">
        <v>3.6</v>
      </c>
      <c r="J81" s="417">
        <f>I81/'통장내역(환율표)'!$D$120</f>
        <v>0.49907727921746498</v>
      </c>
      <c r="K81" s="271">
        <f t="shared" si="5"/>
        <v>285794.08000000019</v>
      </c>
      <c r="L81" s="271">
        <f t="shared" si="6"/>
        <v>39620.369961905148</v>
      </c>
      <c r="M81" s="355"/>
      <c r="N81" s="45">
        <f t="shared" si="7"/>
        <v>39620.369961905155</v>
      </c>
    </row>
    <row r="82" spans="1:14" s="5" customFormat="1" ht="13.5" customHeight="1">
      <c r="A82" s="263">
        <v>45159</v>
      </c>
      <c r="B82" s="373" t="s">
        <v>842</v>
      </c>
      <c r="C82" s="355"/>
      <c r="D82" s="290">
        <v>49</v>
      </c>
      <c r="E82" s="355" t="s">
        <v>107</v>
      </c>
      <c r="F82" s="355"/>
      <c r="G82" s="271"/>
      <c r="H82" s="271"/>
      <c r="I82" s="271">
        <v>13336</v>
      </c>
      <c r="J82" s="417">
        <f>I82/'통장내역(환율표)'!$D$120</f>
        <v>1848.8040543455868</v>
      </c>
      <c r="K82" s="271">
        <f t="shared" si="5"/>
        <v>272458.08000000019</v>
      </c>
      <c r="L82" s="271">
        <f t="shared" si="6"/>
        <v>37771.565907559561</v>
      </c>
      <c r="M82" s="355" t="s">
        <v>830</v>
      </c>
      <c r="N82" s="45">
        <f t="shared" si="7"/>
        <v>37771.565907559569</v>
      </c>
    </row>
    <row r="83" spans="1:14" s="5" customFormat="1" ht="13.5" customHeight="1">
      <c r="A83" s="263">
        <v>45159</v>
      </c>
      <c r="B83" s="321" t="s">
        <v>250</v>
      </c>
      <c r="C83" s="355"/>
      <c r="D83" s="290">
        <v>50</v>
      </c>
      <c r="E83" s="355" t="s">
        <v>107</v>
      </c>
      <c r="F83" s="355"/>
      <c r="G83" s="271"/>
      <c r="H83" s="271"/>
      <c r="I83" s="271">
        <v>7.2</v>
      </c>
      <c r="J83" s="417">
        <f>I83/'통장내역(환율표)'!$D$120</f>
        <v>0.99815455843492995</v>
      </c>
      <c r="K83" s="271">
        <f t="shared" si="5"/>
        <v>272450.88000000018</v>
      </c>
      <c r="L83" s="271">
        <f t="shared" si="6"/>
        <v>37770.567753001123</v>
      </c>
      <c r="M83" s="355"/>
      <c r="N83" s="45">
        <f t="shared" si="7"/>
        <v>37770.567753001131</v>
      </c>
    </row>
    <row r="84" spans="1:14" s="5" customFormat="1" ht="13.5" customHeight="1">
      <c r="A84" s="263">
        <v>45159</v>
      </c>
      <c r="B84" s="373" t="s">
        <v>843</v>
      </c>
      <c r="C84" s="355"/>
      <c r="D84" s="290">
        <v>51</v>
      </c>
      <c r="E84" s="355" t="s">
        <v>107</v>
      </c>
      <c r="F84" s="355"/>
      <c r="G84" s="271"/>
      <c r="H84" s="271"/>
      <c r="I84" s="271">
        <v>20544</v>
      </c>
      <c r="J84" s="417">
        <f>I84/'통장내역(환율표)'!$D$120</f>
        <v>2848.0676734009999</v>
      </c>
      <c r="K84" s="271">
        <f t="shared" si="5"/>
        <v>251906.88000000018</v>
      </c>
      <c r="L84" s="271">
        <f t="shared" si="6"/>
        <v>34922.500079600126</v>
      </c>
      <c r="M84" s="355" t="s">
        <v>831</v>
      </c>
      <c r="N84" s="45">
        <f t="shared" si="7"/>
        <v>34922.500079600133</v>
      </c>
    </row>
    <row r="85" spans="1:14" s="5" customFormat="1" ht="13.5" customHeight="1">
      <c r="A85" s="263">
        <v>45159</v>
      </c>
      <c r="B85" s="321" t="s">
        <v>250</v>
      </c>
      <c r="C85" s="355"/>
      <c r="D85" s="290">
        <v>52</v>
      </c>
      <c r="E85" s="355" t="s">
        <v>107</v>
      </c>
      <c r="F85" s="355"/>
      <c r="G85" s="271"/>
      <c r="H85" s="271"/>
      <c r="I85" s="271">
        <v>7.2</v>
      </c>
      <c r="J85" s="417">
        <f>I85/'통장내역(환율표)'!$D$120</f>
        <v>0.99815455843492995</v>
      </c>
      <c r="K85" s="271">
        <f t="shared" si="5"/>
        <v>251899.68000000017</v>
      </c>
      <c r="L85" s="271">
        <f t="shared" si="6"/>
        <v>34921.501925041688</v>
      </c>
      <c r="M85" s="355"/>
      <c r="N85" s="45">
        <f t="shared" si="7"/>
        <v>34921.501925041695</v>
      </c>
    </row>
    <row r="86" spans="1:14" s="5" customFormat="1" ht="13.5" customHeight="1">
      <c r="A86" s="263">
        <v>45159</v>
      </c>
      <c r="B86" s="373" t="s">
        <v>855</v>
      </c>
      <c r="C86" s="355"/>
      <c r="D86" s="290">
        <v>53</v>
      </c>
      <c r="E86" s="355" t="s">
        <v>116</v>
      </c>
      <c r="F86" s="355" t="s">
        <v>140</v>
      </c>
      <c r="G86" s="271"/>
      <c r="H86" s="271"/>
      <c r="I86" s="271">
        <v>399</v>
      </c>
      <c r="J86" s="417">
        <f>I86/'통장내역(환율표)'!$D$120</f>
        <v>55.314398446602368</v>
      </c>
      <c r="K86" s="271">
        <f t="shared" si="5"/>
        <v>251500.68000000017</v>
      </c>
      <c r="L86" s="271">
        <f t="shared" si="6"/>
        <v>34866.187526595088</v>
      </c>
      <c r="M86" s="355" t="s">
        <v>832</v>
      </c>
      <c r="N86" s="45">
        <f t="shared" si="7"/>
        <v>34866.187526595095</v>
      </c>
    </row>
    <row r="87" spans="1:14" s="5" customFormat="1" ht="13.5" customHeight="1">
      <c r="A87" s="263">
        <v>45159</v>
      </c>
      <c r="B87" s="373" t="s">
        <v>854</v>
      </c>
      <c r="C87" s="355"/>
      <c r="D87" s="290">
        <v>54</v>
      </c>
      <c r="E87" s="355" t="s">
        <v>296</v>
      </c>
      <c r="F87" s="355" t="s">
        <v>140</v>
      </c>
      <c r="G87" s="271"/>
      <c r="H87" s="271"/>
      <c r="I87" s="271">
        <v>499</v>
      </c>
      <c r="J87" s="417">
        <f>I87/'통장내역(환율표)'!$D$120</f>
        <v>69.177656202643064</v>
      </c>
      <c r="K87" s="271">
        <f t="shared" si="5"/>
        <v>251001.68000000017</v>
      </c>
      <c r="L87" s="271">
        <f t="shared" si="6"/>
        <v>34797.009870392445</v>
      </c>
      <c r="M87" s="355"/>
      <c r="N87" s="45">
        <f t="shared" si="7"/>
        <v>34797.009870392452</v>
      </c>
    </row>
    <row r="88" spans="1:14" s="5" customFormat="1" ht="13.5" customHeight="1">
      <c r="A88" s="263">
        <v>45159</v>
      </c>
      <c r="B88" s="373" t="s">
        <v>250</v>
      </c>
      <c r="C88" s="355"/>
      <c r="D88" s="290">
        <v>55</v>
      </c>
      <c r="E88" s="355" t="s">
        <v>107</v>
      </c>
      <c r="F88" s="355"/>
      <c r="G88" s="271"/>
      <c r="H88" s="271"/>
      <c r="I88" s="271">
        <v>3.6</v>
      </c>
      <c r="J88" s="417">
        <f>I88/'통장내역(환율표)'!$D$120</f>
        <v>0.49907727921746498</v>
      </c>
      <c r="K88" s="271">
        <f t="shared" si="5"/>
        <v>250998.08000000016</v>
      </c>
      <c r="L88" s="271">
        <f t="shared" si="6"/>
        <v>34796.51079311323</v>
      </c>
      <c r="M88" s="355"/>
      <c r="N88" s="45">
        <f t="shared" si="7"/>
        <v>34796.510793113237</v>
      </c>
    </row>
    <row r="89" spans="1:14" s="5" customFormat="1" ht="13.5" customHeight="1">
      <c r="A89" s="263">
        <v>45159</v>
      </c>
      <c r="B89" s="373" t="s">
        <v>856</v>
      </c>
      <c r="C89" s="355"/>
      <c r="D89" s="290">
        <v>56</v>
      </c>
      <c r="E89" s="355" t="s">
        <v>107</v>
      </c>
      <c r="F89" s="355"/>
      <c r="G89" s="271"/>
      <c r="H89" s="271"/>
      <c r="I89" s="271">
        <v>274.8</v>
      </c>
      <c r="J89" s="417">
        <f>I89/'통장내역(환율표)'!$D$120</f>
        <v>38.096232313599828</v>
      </c>
      <c r="K89" s="271">
        <f t="shared" si="5"/>
        <v>250723.28000000017</v>
      </c>
      <c r="L89" s="271">
        <f t="shared" si="6"/>
        <v>34758.414560799632</v>
      </c>
      <c r="M89" s="355"/>
      <c r="N89" s="45">
        <f t="shared" si="7"/>
        <v>34758.41456079964</v>
      </c>
    </row>
    <row r="90" spans="1:14" s="5" customFormat="1" ht="13.5" customHeight="1">
      <c r="A90" s="263">
        <v>45159</v>
      </c>
      <c r="B90" s="373" t="s">
        <v>857</v>
      </c>
      <c r="C90" s="355"/>
      <c r="D90" s="290">
        <v>57</v>
      </c>
      <c r="E90" s="355" t="s">
        <v>107</v>
      </c>
      <c r="F90" s="355"/>
      <c r="G90" s="271"/>
      <c r="H90" s="271"/>
      <c r="I90" s="271">
        <v>69</v>
      </c>
      <c r="J90" s="417">
        <f>I90/'통장내역(환율표)'!$D$120</f>
        <v>9.5656478516680785</v>
      </c>
      <c r="K90" s="271">
        <f t="shared" si="5"/>
        <v>250654.28000000017</v>
      </c>
      <c r="L90" s="271">
        <f t="shared" si="6"/>
        <v>34748.848912947964</v>
      </c>
      <c r="M90" s="355"/>
      <c r="N90" s="45">
        <f t="shared" si="7"/>
        <v>34748.848912947971</v>
      </c>
    </row>
    <row r="91" spans="1:14" s="5" customFormat="1" ht="13.5" customHeight="1">
      <c r="A91" s="263">
        <v>45159</v>
      </c>
      <c r="B91" s="373" t="s">
        <v>858</v>
      </c>
      <c r="C91" s="355"/>
      <c r="D91" s="290">
        <v>58</v>
      </c>
      <c r="E91" s="355" t="s">
        <v>107</v>
      </c>
      <c r="F91" s="355"/>
      <c r="G91" s="271"/>
      <c r="H91" s="271"/>
      <c r="I91" s="271">
        <v>300</v>
      </c>
      <c r="J91" s="417">
        <f>I91/'통장내역(환율표)'!$D$120</f>
        <v>41.58977326812208</v>
      </c>
      <c r="K91" s="271">
        <f t="shared" si="5"/>
        <v>250354.28000000017</v>
      </c>
      <c r="L91" s="271">
        <f t="shared" si="6"/>
        <v>34707.259139679845</v>
      </c>
      <c r="M91" s="355"/>
      <c r="N91" s="45">
        <f t="shared" si="7"/>
        <v>34707.259139679853</v>
      </c>
    </row>
    <row r="92" spans="1:14" s="5" customFormat="1" ht="13.5" customHeight="1">
      <c r="A92" s="263">
        <v>45159</v>
      </c>
      <c r="B92" s="373" t="s">
        <v>250</v>
      </c>
      <c r="C92" s="355"/>
      <c r="D92" s="290">
        <v>59</v>
      </c>
      <c r="E92" s="355" t="s">
        <v>107</v>
      </c>
      <c r="F92" s="355"/>
      <c r="G92" s="271"/>
      <c r="H92" s="271"/>
      <c r="I92" s="271">
        <v>3.6</v>
      </c>
      <c r="J92" s="417">
        <f>I92/'통장내역(환율표)'!$D$120</f>
        <v>0.49907727921746498</v>
      </c>
      <c r="K92" s="271">
        <f t="shared" si="5"/>
        <v>250350.68000000017</v>
      </c>
      <c r="L92" s="271">
        <f t="shared" si="6"/>
        <v>34706.76006240063</v>
      </c>
      <c r="M92" s="355"/>
      <c r="N92" s="45">
        <f t="shared" si="7"/>
        <v>34706.760062400637</v>
      </c>
    </row>
    <row r="93" spans="1:14" s="5" customFormat="1" ht="13.5" customHeight="1">
      <c r="A93" s="263">
        <v>45159</v>
      </c>
      <c r="B93" s="373" t="s">
        <v>844</v>
      </c>
      <c r="C93" s="355"/>
      <c r="D93" s="290">
        <v>60</v>
      </c>
      <c r="E93" s="355" t="s">
        <v>146</v>
      </c>
      <c r="F93" s="355" t="s">
        <v>147</v>
      </c>
      <c r="G93" s="271"/>
      <c r="H93" s="271"/>
      <c r="I93" s="271">
        <v>332.09</v>
      </c>
      <c r="J93" s="417">
        <f>I93/'통장내역(환율표)'!$D$120</f>
        <v>46.038492682035532</v>
      </c>
      <c r="K93" s="271">
        <f t="shared" ref="K93:K121" si="8">K92+G93-I93</f>
        <v>250018.59000000017</v>
      </c>
      <c r="L93" s="271">
        <f t="shared" ref="L93:L121" si="9">L92+H93-J93</f>
        <v>34660.721569718597</v>
      </c>
      <c r="M93" s="355" t="s">
        <v>709</v>
      </c>
      <c r="N93" s="45">
        <f t="shared" si="7"/>
        <v>34660.721569718604</v>
      </c>
    </row>
    <row r="94" spans="1:14" s="5" customFormat="1" ht="13.5" customHeight="1">
      <c r="A94" s="263">
        <v>45159</v>
      </c>
      <c r="B94" s="373" t="s">
        <v>250</v>
      </c>
      <c r="C94" s="355"/>
      <c r="D94" s="290">
        <v>61</v>
      </c>
      <c r="E94" s="355" t="s">
        <v>107</v>
      </c>
      <c r="F94" s="355"/>
      <c r="G94" s="271"/>
      <c r="H94" s="271"/>
      <c r="I94" s="271">
        <v>3.6</v>
      </c>
      <c r="J94" s="417">
        <f>I94/'통장내역(환율표)'!$D$120</f>
        <v>0.49907727921746498</v>
      </c>
      <c r="K94" s="271">
        <f t="shared" si="8"/>
        <v>250014.99000000017</v>
      </c>
      <c r="L94" s="271">
        <f t="shared" si="9"/>
        <v>34660.222492439381</v>
      </c>
      <c r="M94" s="355"/>
      <c r="N94" s="45">
        <f t="shared" si="7"/>
        <v>34660.222492439389</v>
      </c>
    </row>
    <row r="95" spans="1:14" s="5" customFormat="1" ht="13.5" customHeight="1">
      <c r="A95" s="263">
        <v>45159</v>
      </c>
      <c r="B95" s="373" t="s">
        <v>845</v>
      </c>
      <c r="C95" s="355"/>
      <c r="D95" s="290">
        <v>62</v>
      </c>
      <c r="E95" s="355" t="s">
        <v>125</v>
      </c>
      <c r="F95" s="355" t="s">
        <v>145</v>
      </c>
      <c r="G95" s="271"/>
      <c r="H95" s="271"/>
      <c r="I95" s="271">
        <v>1800</v>
      </c>
      <c r="J95" s="417">
        <f>I95/'통장내역(환율표)'!$D$120</f>
        <v>249.53863960873247</v>
      </c>
      <c r="K95" s="271">
        <f t="shared" si="8"/>
        <v>248214.99000000017</v>
      </c>
      <c r="L95" s="271">
        <f t="shared" si="9"/>
        <v>34410.683852830647</v>
      </c>
      <c r="M95" s="355" t="s">
        <v>708</v>
      </c>
      <c r="N95" s="45">
        <f t="shared" si="7"/>
        <v>34410.683852830654</v>
      </c>
    </row>
    <row r="96" spans="1:14" s="5" customFormat="1" ht="13.5" customHeight="1">
      <c r="A96" s="263">
        <v>45159</v>
      </c>
      <c r="B96" s="373" t="s">
        <v>250</v>
      </c>
      <c r="C96" s="355"/>
      <c r="D96" s="290">
        <v>63</v>
      </c>
      <c r="E96" s="355" t="s">
        <v>107</v>
      </c>
      <c r="F96" s="355"/>
      <c r="G96" s="271"/>
      <c r="H96" s="271"/>
      <c r="I96" s="271">
        <v>3.6</v>
      </c>
      <c r="J96" s="417">
        <f>I96/'통장내역(환율표)'!$D$120</f>
        <v>0.49907727921746498</v>
      </c>
      <c r="K96" s="271">
        <f t="shared" si="8"/>
        <v>248211.39000000016</v>
      </c>
      <c r="L96" s="271">
        <f t="shared" si="9"/>
        <v>34410.184775551432</v>
      </c>
      <c r="M96" s="355"/>
      <c r="N96" s="45">
        <f t="shared" si="7"/>
        <v>34410.184775551439</v>
      </c>
    </row>
    <row r="97" spans="1:14" s="5" customFormat="1" ht="13.5" customHeight="1">
      <c r="A97" s="263">
        <v>45159</v>
      </c>
      <c r="B97" s="321" t="s">
        <v>131</v>
      </c>
      <c r="C97" s="355"/>
      <c r="D97" s="290">
        <v>63</v>
      </c>
      <c r="E97" s="355" t="s">
        <v>107</v>
      </c>
      <c r="F97" s="355"/>
      <c r="G97" s="271"/>
      <c r="H97" s="271"/>
      <c r="I97" s="271">
        <v>8453.39</v>
      </c>
      <c r="J97" s="417">
        <f>I97/'통장내역(환율표)'!$D$120</f>
        <v>1171.9152448233683</v>
      </c>
      <c r="K97" s="271">
        <f t="shared" si="8"/>
        <v>239758.00000000017</v>
      </c>
      <c r="L97" s="271">
        <f t="shared" si="9"/>
        <v>33238.269530728066</v>
      </c>
      <c r="M97" s="355" t="s">
        <v>247</v>
      </c>
      <c r="N97" s="45">
        <f t="shared" si="7"/>
        <v>33238.269530728074</v>
      </c>
    </row>
    <row r="98" spans="1:14" s="5" customFormat="1" ht="13.5" customHeight="1">
      <c r="A98" s="263">
        <v>45159</v>
      </c>
      <c r="B98" s="321" t="s">
        <v>133</v>
      </c>
      <c r="C98" s="355"/>
      <c r="D98" s="290">
        <v>63</v>
      </c>
      <c r="E98" s="355" t="s">
        <v>107</v>
      </c>
      <c r="F98" s="355"/>
      <c r="G98" s="271"/>
      <c r="H98" s="271"/>
      <c r="I98" s="271">
        <v>5738.5799999999981</v>
      </c>
      <c r="J98" s="417">
        <f>I98/'통장내역(환율표)'!$D$120</f>
        <v>795.55413693659978</v>
      </c>
      <c r="K98" s="271">
        <f t="shared" si="8"/>
        <v>234019.42000000019</v>
      </c>
      <c r="L98" s="271">
        <f t="shared" si="9"/>
        <v>32442.715393791466</v>
      </c>
      <c r="M98" s="355" t="s">
        <v>247</v>
      </c>
      <c r="N98" s="45">
        <f t="shared" si="7"/>
        <v>32442.715393791474</v>
      </c>
    </row>
    <row r="99" spans="1:14" s="5" customFormat="1" ht="13.5" customHeight="1">
      <c r="A99" s="263">
        <v>45159</v>
      </c>
      <c r="B99" s="321" t="s">
        <v>456</v>
      </c>
      <c r="C99" s="355"/>
      <c r="D99" s="290">
        <v>63</v>
      </c>
      <c r="E99" s="355" t="s">
        <v>107</v>
      </c>
      <c r="F99" s="355"/>
      <c r="G99" s="271"/>
      <c r="H99" s="271"/>
      <c r="I99" s="275">
        <v>15000</v>
      </c>
      <c r="J99" s="417">
        <f>I99/'통장내역(환율표)'!$D$120</f>
        <v>2079.488663406104</v>
      </c>
      <c r="K99" s="271">
        <f t="shared" si="8"/>
        <v>219019.42000000019</v>
      </c>
      <c r="L99" s="271">
        <f t="shared" si="9"/>
        <v>30363.226730385362</v>
      </c>
      <c r="M99" s="355" t="s">
        <v>247</v>
      </c>
      <c r="N99" s="45">
        <f t="shared" si="7"/>
        <v>30363.22673038537</v>
      </c>
    </row>
    <row r="100" spans="1:14" s="5" customFormat="1" ht="13.5" customHeight="1">
      <c r="A100" s="263">
        <v>45159</v>
      </c>
      <c r="B100" s="321" t="s">
        <v>457</v>
      </c>
      <c r="C100" s="355"/>
      <c r="D100" s="290">
        <v>63</v>
      </c>
      <c r="E100" s="355" t="s">
        <v>107</v>
      </c>
      <c r="F100" s="355"/>
      <c r="G100" s="271"/>
      <c r="H100" s="271"/>
      <c r="I100" s="275">
        <v>22000</v>
      </c>
      <c r="J100" s="417">
        <f>I100/'통장내역(환율표)'!$D$120</f>
        <v>3049.9167063289524</v>
      </c>
      <c r="K100" s="271">
        <f t="shared" si="8"/>
        <v>197019.42000000019</v>
      </c>
      <c r="L100" s="271">
        <f t="shared" si="9"/>
        <v>27313.310024056409</v>
      </c>
      <c r="M100" s="355" t="s">
        <v>247</v>
      </c>
      <c r="N100" s="45">
        <f t="shared" si="7"/>
        <v>27313.310024056416</v>
      </c>
    </row>
    <row r="101" spans="1:14" s="5" customFormat="1" ht="13.5" customHeight="1">
      <c r="A101" s="263">
        <v>45159</v>
      </c>
      <c r="B101" s="321" t="s">
        <v>130</v>
      </c>
      <c r="C101" s="355"/>
      <c r="D101" s="290">
        <v>63</v>
      </c>
      <c r="E101" s="355" t="s">
        <v>107</v>
      </c>
      <c r="F101" s="355"/>
      <c r="G101" s="271"/>
      <c r="H101" s="271"/>
      <c r="I101" s="271">
        <v>300</v>
      </c>
      <c r="J101" s="417">
        <f>I101/'통장내역(환율표)'!$D$120</f>
        <v>41.58977326812208</v>
      </c>
      <c r="K101" s="271">
        <f t="shared" si="8"/>
        <v>196719.42000000019</v>
      </c>
      <c r="L101" s="271">
        <f t="shared" si="9"/>
        <v>27271.720250788287</v>
      </c>
      <c r="M101" s="355" t="s">
        <v>247</v>
      </c>
      <c r="N101" s="45">
        <f t="shared" si="7"/>
        <v>27271.720250788294</v>
      </c>
    </row>
    <row r="102" spans="1:14" s="5" customFormat="1" ht="13.5" customHeight="1">
      <c r="A102" s="263">
        <v>45159</v>
      </c>
      <c r="B102" s="321" t="s">
        <v>131</v>
      </c>
      <c r="C102" s="355"/>
      <c r="D102" s="290">
        <v>63</v>
      </c>
      <c r="E102" s="355" t="s">
        <v>107</v>
      </c>
      <c r="F102" s="355"/>
      <c r="G102" s="271"/>
      <c r="H102" s="271"/>
      <c r="I102" s="271">
        <v>4703.3899999999994</v>
      </c>
      <c r="J102" s="417">
        <f>I102/'통장내역(환율표)'!$D$120</f>
        <v>652.04307897184231</v>
      </c>
      <c r="K102" s="271">
        <f t="shared" si="8"/>
        <v>192016.0300000002</v>
      </c>
      <c r="L102" s="271">
        <f t="shared" si="9"/>
        <v>26619.677171816445</v>
      </c>
      <c r="M102" s="355" t="s">
        <v>211</v>
      </c>
      <c r="N102" s="45">
        <f t="shared" si="7"/>
        <v>26619.677171816453</v>
      </c>
    </row>
    <row r="103" spans="1:14" s="5" customFormat="1" ht="13.5" customHeight="1">
      <c r="A103" s="263">
        <v>45159</v>
      </c>
      <c r="B103" s="321" t="s">
        <v>133</v>
      </c>
      <c r="C103" s="355"/>
      <c r="D103" s="290">
        <v>63</v>
      </c>
      <c r="E103" s="355" t="s">
        <v>107</v>
      </c>
      <c r="F103" s="355"/>
      <c r="G103" s="271"/>
      <c r="H103" s="271"/>
      <c r="I103" s="271">
        <v>6098.5799999999981</v>
      </c>
      <c r="J103" s="417">
        <f>I103/'통장내역(환율표)'!$D$120</f>
        <v>845.46186485834619</v>
      </c>
      <c r="K103" s="271">
        <f t="shared" si="8"/>
        <v>185917.45000000022</v>
      </c>
      <c r="L103" s="271">
        <f t="shared" si="9"/>
        <v>25774.2153069581</v>
      </c>
      <c r="M103" s="355" t="s">
        <v>211</v>
      </c>
      <c r="N103" s="45">
        <f t="shared" si="7"/>
        <v>25774.215306958107</v>
      </c>
    </row>
    <row r="104" spans="1:14" s="5" customFormat="1" ht="13.5" customHeight="1">
      <c r="A104" s="263">
        <v>45159</v>
      </c>
      <c r="B104" s="321" t="s">
        <v>456</v>
      </c>
      <c r="C104" s="355"/>
      <c r="D104" s="290">
        <v>63</v>
      </c>
      <c r="E104" s="355" t="s">
        <v>107</v>
      </c>
      <c r="F104" s="355"/>
      <c r="G104" s="271"/>
      <c r="H104" s="271"/>
      <c r="I104" s="275">
        <v>15000</v>
      </c>
      <c r="J104" s="417">
        <f>I104/'통장내역(환율표)'!$D$120</f>
        <v>2079.488663406104</v>
      </c>
      <c r="K104" s="271">
        <f t="shared" si="8"/>
        <v>170917.45000000022</v>
      </c>
      <c r="L104" s="271">
        <f t="shared" si="9"/>
        <v>23694.726643551996</v>
      </c>
      <c r="M104" s="355" t="s">
        <v>211</v>
      </c>
      <c r="N104" s="45">
        <f t="shared" si="7"/>
        <v>23694.726643552003</v>
      </c>
    </row>
    <row r="105" spans="1:14" s="5" customFormat="1" ht="13.5" customHeight="1">
      <c r="A105" s="263">
        <v>45159</v>
      </c>
      <c r="B105" s="321" t="s">
        <v>457</v>
      </c>
      <c r="C105" s="355"/>
      <c r="D105" s="290">
        <v>63</v>
      </c>
      <c r="E105" s="355" t="s">
        <v>107</v>
      </c>
      <c r="F105" s="355"/>
      <c r="G105" s="271"/>
      <c r="H105" s="271"/>
      <c r="I105" s="275">
        <v>22000</v>
      </c>
      <c r="J105" s="417">
        <f>I105/'통장내역(환율표)'!$D$120</f>
        <v>3049.9167063289524</v>
      </c>
      <c r="K105" s="271">
        <f t="shared" si="8"/>
        <v>148917.45000000022</v>
      </c>
      <c r="L105" s="271">
        <f t="shared" si="9"/>
        <v>20644.809937223043</v>
      </c>
      <c r="M105" s="355" t="s">
        <v>211</v>
      </c>
      <c r="N105" s="45">
        <f t="shared" si="7"/>
        <v>20644.80993722305</v>
      </c>
    </row>
    <row r="106" spans="1:14" s="5" customFormat="1" ht="13.5" customHeight="1">
      <c r="A106" s="263">
        <v>45159</v>
      </c>
      <c r="B106" s="321" t="s">
        <v>130</v>
      </c>
      <c r="C106" s="355"/>
      <c r="D106" s="290">
        <v>63</v>
      </c>
      <c r="E106" s="355" t="s">
        <v>107</v>
      </c>
      <c r="F106" s="355"/>
      <c r="G106" s="271"/>
      <c r="H106" s="271"/>
      <c r="I106" s="271">
        <v>300</v>
      </c>
      <c r="J106" s="417">
        <f>I106/'통장내역(환율표)'!$D$120</f>
        <v>41.58977326812208</v>
      </c>
      <c r="K106" s="271">
        <f t="shared" si="8"/>
        <v>148617.45000000022</v>
      </c>
      <c r="L106" s="271">
        <f t="shared" si="9"/>
        <v>20603.22016395492</v>
      </c>
      <c r="M106" s="355" t="s">
        <v>211</v>
      </c>
      <c r="N106" s="45">
        <f t="shared" si="7"/>
        <v>20603.220163954928</v>
      </c>
    </row>
    <row r="107" spans="1:14" s="5" customFormat="1" ht="13.5" customHeight="1">
      <c r="A107" s="263">
        <v>45159</v>
      </c>
      <c r="B107" s="321" t="s">
        <v>873</v>
      </c>
      <c r="C107" s="355"/>
      <c r="D107" s="290">
        <v>63</v>
      </c>
      <c r="E107" s="355" t="s">
        <v>107</v>
      </c>
      <c r="F107" s="355"/>
      <c r="G107" s="271"/>
      <c r="H107" s="271"/>
      <c r="I107" s="271">
        <v>5066.49</v>
      </c>
      <c r="J107" s="417">
        <f>I107/'통장내역(환율표)'!$D$120</f>
        <v>702.38056788402605</v>
      </c>
      <c r="K107" s="271">
        <f t="shared" si="8"/>
        <v>143550.96000000022</v>
      </c>
      <c r="L107" s="271">
        <f t="shared" si="9"/>
        <v>19900.839596070895</v>
      </c>
      <c r="M107" s="355" t="s">
        <v>453</v>
      </c>
      <c r="N107" s="45">
        <f t="shared" si="7"/>
        <v>19900.839596070902</v>
      </c>
    </row>
    <row r="108" spans="1:14" s="5" customFormat="1" ht="13.5" customHeight="1">
      <c r="A108" s="263">
        <v>45159</v>
      </c>
      <c r="B108" s="321" t="s">
        <v>874</v>
      </c>
      <c r="C108" s="355"/>
      <c r="D108" s="290">
        <v>63</v>
      </c>
      <c r="E108" s="355" t="s">
        <v>107</v>
      </c>
      <c r="F108" s="355"/>
      <c r="G108" s="271"/>
      <c r="H108" s="271"/>
      <c r="I108" s="271">
        <v>25000</v>
      </c>
      <c r="J108" s="417">
        <f>I108/'통장내역(환율표)'!$D$120</f>
        <v>3465.8144390101734</v>
      </c>
      <c r="K108" s="271">
        <f t="shared" si="8"/>
        <v>118550.96000000022</v>
      </c>
      <c r="L108" s="271">
        <f t="shared" si="9"/>
        <v>16435.025157060722</v>
      </c>
      <c r="M108" s="355" t="s">
        <v>453</v>
      </c>
      <c r="N108" s="45">
        <f t="shared" si="7"/>
        <v>16435.025157060729</v>
      </c>
    </row>
    <row r="109" spans="1:14" s="5" customFormat="1" ht="13.5" customHeight="1">
      <c r="A109" s="263">
        <v>45159</v>
      </c>
      <c r="B109" s="321" t="s">
        <v>861</v>
      </c>
      <c r="C109" s="355"/>
      <c r="D109" s="290">
        <v>63</v>
      </c>
      <c r="E109" s="355" t="s">
        <v>107</v>
      </c>
      <c r="F109" s="355"/>
      <c r="G109" s="271"/>
      <c r="H109" s="271"/>
      <c r="I109" s="271">
        <v>300</v>
      </c>
      <c r="J109" s="417">
        <f>I109/'통장내역(환율표)'!$D$120</f>
        <v>41.58977326812208</v>
      </c>
      <c r="K109" s="271">
        <f t="shared" si="8"/>
        <v>118250.96000000022</v>
      </c>
      <c r="L109" s="271">
        <f t="shared" si="9"/>
        <v>16393.435383792599</v>
      </c>
      <c r="M109" s="355" t="s">
        <v>453</v>
      </c>
      <c r="N109" s="45">
        <f t="shared" si="7"/>
        <v>16393.435383792606</v>
      </c>
    </row>
    <row r="110" spans="1:14" s="5" customFormat="1" ht="13.5" customHeight="1">
      <c r="A110" s="263">
        <v>45159</v>
      </c>
      <c r="B110" s="321" t="s">
        <v>849</v>
      </c>
      <c r="C110" s="355"/>
      <c r="D110" s="290">
        <v>63</v>
      </c>
      <c r="E110" s="355" t="s">
        <v>107</v>
      </c>
      <c r="F110" s="355"/>
      <c r="G110" s="271"/>
      <c r="H110" s="271"/>
      <c r="I110" s="271">
        <v>300</v>
      </c>
      <c r="J110" s="417">
        <f>I110/'통장내역(환율표)'!$D$120</f>
        <v>41.58977326812208</v>
      </c>
      <c r="K110" s="271">
        <f t="shared" si="8"/>
        <v>117950.96000000022</v>
      </c>
      <c r="L110" s="271">
        <f t="shared" si="9"/>
        <v>16351.845610524477</v>
      </c>
      <c r="M110" s="355" t="s">
        <v>453</v>
      </c>
      <c r="N110" s="45">
        <f t="shared" si="7"/>
        <v>16351.845610524484</v>
      </c>
    </row>
    <row r="111" spans="1:14" s="5" customFormat="1" ht="13.5" customHeight="1">
      <c r="A111" s="263">
        <v>45159</v>
      </c>
      <c r="B111" s="321" t="s">
        <v>873</v>
      </c>
      <c r="C111" s="355"/>
      <c r="D111" s="290">
        <v>63</v>
      </c>
      <c r="E111" s="355" t="s">
        <v>107</v>
      </c>
      <c r="F111" s="355"/>
      <c r="G111" s="271"/>
      <c r="H111" s="271"/>
      <c r="I111" s="271">
        <v>2699.61</v>
      </c>
      <c r="J111" s="417">
        <f>I111/'통장내역(환율표)'!$D$120</f>
        <v>374.25389270785018</v>
      </c>
      <c r="K111" s="271">
        <f t="shared" si="8"/>
        <v>115251.35000000022</v>
      </c>
      <c r="L111" s="271">
        <f t="shared" si="9"/>
        <v>15977.591717816627</v>
      </c>
      <c r="M111" s="423" t="s">
        <v>876</v>
      </c>
      <c r="N111" s="45">
        <f t="shared" si="7"/>
        <v>15977.591717816635</v>
      </c>
    </row>
    <row r="112" spans="1:14" s="5" customFormat="1" ht="13.5" customHeight="1">
      <c r="A112" s="263">
        <v>45159</v>
      </c>
      <c r="B112" s="321" t="s">
        <v>874</v>
      </c>
      <c r="C112" s="355"/>
      <c r="D112" s="290">
        <v>63</v>
      </c>
      <c r="E112" s="355" t="s">
        <v>107</v>
      </c>
      <c r="F112" s="355"/>
      <c r="G112" s="271"/>
      <c r="H112" s="271"/>
      <c r="I112" s="271">
        <v>11700</v>
      </c>
      <c r="J112" s="417">
        <f>I112/'통장내역(환율표)'!$D$120</f>
        <v>1622.0011574567611</v>
      </c>
      <c r="K112" s="271">
        <f t="shared" si="8"/>
        <v>103551.35000000022</v>
      </c>
      <c r="L112" s="271">
        <f t="shared" si="9"/>
        <v>14355.590560359866</v>
      </c>
      <c r="M112" s="423" t="s">
        <v>876</v>
      </c>
      <c r="N112" s="45">
        <f t="shared" si="7"/>
        <v>14355.590560359873</v>
      </c>
    </row>
    <row r="113" spans="1:15" s="5" customFormat="1" ht="13.5" customHeight="1">
      <c r="A113" s="263">
        <v>45159</v>
      </c>
      <c r="B113" s="321" t="s">
        <v>861</v>
      </c>
      <c r="C113" s="355"/>
      <c r="D113" s="290">
        <v>63</v>
      </c>
      <c r="E113" s="355" t="s">
        <v>107</v>
      </c>
      <c r="F113" s="355"/>
      <c r="G113" s="271"/>
      <c r="H113" s="271"/>
      <c r="I113" s="271">
        <v>1000</v>
      </c>
      <c r="J113" s="417">
        <f>I113/'통장내역(환율표)'!$D$120</f>
        <v>138.63257756040693</v>
      </c>
      <c r="K113" s="271">
        <f t="shared" si="8"/>
        <v>102551.35000000022</v>
      </c>
      <c r="L113" s="271">
        <f t="shared" si="9"/>
        <v>14216.957982799458</v>
      </c>
      <c r="M113" s="423" t="s">
        <v>876</v>
      </c>
      <c r="N113" s="45">
        <f t="shared" si="7"/>
        <v>14216.957982799466</v>
      </c>
    </row>
    <row r="114" spans="1:15" s="5" customFormat="1" ht="13.5" customHeight="1">
      <c r="A114" s="263">
        <v>45159</v>
      </c>
      <c r="B114" s="321" t="s">
        <v>849</v>
      </c>
      <c r="C114" s="355"/>
      <c r="D114" s="290">
        <v>63</v>
      </c>
      <c r="E114" s="355" t="s">
        <v>107</v>
      </c>
      <c r="F114" s="355"/>
      <c r="G114" s="271"/>
      <c r="H114" s="271"/>
      <c r="I114" s="271">
        <v>300</v>
      </c>
      <c r="J114" s="417">
        <f>I114/'통장내역(환율표)'!$D$120</f>
        <v>41.58977326812208</v>
      </c>
      <c r="K114" s="271">
        <f t="shared" si="8"/>
        <v>102251.35000000022</v>
      </c>
      <c r="L114" s="271">
        <f t="shared" si="9"/>
        <v>14175.368209531336</v>
      </c>
      <c r="M114" s="423" t="s">
        <v>876</v>
      </c>
      <c r="N114" s="45">
        <f t="shared" si="7"/>
        <v>14175.368209531343</v>
      </c>
    </row>
    <row r="115" spans="1:15" s="5" customFormat="1" ht="13.5" customHeight="1">
      <c r="A115" s="263">
        <v>45159</v>
      </c>
      <c r="B115" s="321" t="s">
        <v>873</v>
      </c>
      <c r="C115" s="355"/>
      <c r="D115" s="290">
        <v>63</v>
      </c>
      <c r="E115" s="355" t="s">
        <v>107</v>
      </c>
      <c r="F115" s="355"/>
      <c r="G115" s="271"/>
      <c r="H115" s="271"/>
      <c r="I115" s="271">
        <v>2699.61</v>
      </c>
      <c r="J115" s="417">
        <f>I115/'통장내역(환율표)'!$D$120</f>
        <v>374.25389270785018</v>
      </c>
      <c r="K115" s="271">
        <f t="shared" si="8"/>
        <v>99551.740000000224</v>
      </c>
      <c r="L115" s="271">
        <f t="shared" si="9"/>
        <v>13801.114316823487</v>
      </c>
      <c r="M115" s="355" t="s">
        <v>877</v>
      </c>
      <c r="N115" s="45">
        <f t="shared" si="7"/>
        <v>13801.114316823494</v>
      </c>
    </row>
    <row r="116" spans="1:15" s="5" customFormat="1" ht="13.5" customHeight="1">
      <c r="A116" s="263">
        <v>45159</v>
      </c>
      <c r="B116" s="321" t="s">
        <v>874</v>
      </c>
      <c r="C116" s="355"/>
      <c r="D116" s="290">
        <v>63</v>
      </c>
      <c r="E116" s="355" t="s">
        <v>107</v>
      </c>
      <c r="F116" s="355"/>
      <c r="G116" s="271"/>
      <c r="H116" s="271"/>
      <c r="I116" s="271">
        <v>11700</v>
      </c>
      <c r="J116" s="417">
        <f>I116/'통장내역(환율표)'!$D$120</f>
        <v>1622.0011574567611</v>
      </c>
      <c r="K116" s="271">
        <f t="shared" si="8"/>
        <v>87851.740000000224</v>
      </c>
      <c r="L116" s="271">
        <f t="shared" si="9"/>
        <v>12179.113159366725</v>
      </c>
      <c r="M116" s="355" t="s">
        <v>877</v>
      </c>
      <c r="N116" s="45">
        <f t="shared" si="7"/>
        <v>12179.113159366732</v>
      </c>
    </row>
    <row r="117" spans="1:15" s="5" customFormat="1" ht="13.5" customHeight="1">
      <c r="A117" s="263">
        <v>45159</v>
      </c>
      <c r="B117" s="321" t="s">
        <v>861</v>
      </c>
      <c r="C117" s="355"/>
      <c r="D117" s="290">
        <v>63</v>
      </c>
      <c r="E117" s="355" t="s">
        <v>107</v>
      </c>
      <c r="F117" s="355"/>
      <c r="G117" s="271"/>
      <c r="H117" s="271"/>
      <c r="I117" s="271">
        <v>1000</v>
      </c>
      <c r="J117" s="417">
        <f>I117/'통장내역(환율표)'!$D$120</f>
        <v>138.63257756040693</v>
      </c>
      <c r="K117" s="271">
        <f t="shared" si="8"/>
        <v>86851.740000000224</v>
      </c>
      <c r="L117" s="271">
        <f t="shared" si="9"/>
        <v>12040.480581806318</v>
      </c>
      <c r="M117" s="355" t="s">
        <v>877</v>
      </c>
      <c r="N117" s="45">
        <f t="shared" si="7"/>
        <v>12040.480581806325</v>
      </c>
    </row>
    <row r="118" spans="1:15" s="5" customFormat="1" ht="13.5" customHeight="1">
      <c r="A118" s="263">
        <v>45159</v>
      </c>
      <c r="B118" s="321" t="s">
        <v>849</v>
      </c>
      <c r="C118" s="355"/>
      <c r="D118" s="290">
        <v>63</v>
      </c>
      <c r="E118" s="355" t="s">
        <v>107</v>
      </c>
      <c r="F118" s="355"/>
      <c r="G118" s="271"/>
      <c r="H118" s="271"/>
      <c r="I118" s="271">
        <v>300</v>
      </c>
      <c r="J118" s="417">
        <f>I118/'통장내역(환율표)'!$D$120</f>
        <v>41.58977326812208</v>
      </c>
      <c r="K118" s="271">
        <f t="shared" si="8"/>
        <v>86551.740000000224</v>
      </c>
      <c r="L118" s="271">
        <f t="shared" si="9"/>
        <v>11998.890808538195</v>
      </c>
      <c r="M118" s="355" t="s">
        <v>877</v>
      </c>
      <c r="N118" s="45">
        <f t="shared" si="7"/>
        <v>11998.890808538203</v>
      </c>
    </row>
    <row r="119" spans="1:15" s="5" customFormat="1" ht="13.5" customHeight="1">
      <c r="A119" s="263">
        <v>45159</v>
      </c>
      <c r="B119" s="373" t="s">
        <v>250</v>
      </c>
      <c r="C119" s="355"/>
      <c r="D119" s="290">
        <v>64</v>
      </c>
      <c r="E119" s="355" t="s">
        <v>107</v>
      </c>
      <c r="F119" s="355"/>
      <c r="G119" s="271"/>
      <c r="H119" s="271"/>
      <c r="I119" s="271">
        <v>12</v>
      </c>
      <c r="J119" s="417">
        <f>I119/'통장내역(환율표)'!$D$120</f>
        <v>1.6635909307248833</v>
      </c>
      <c r="K119" s="271">
        <f t="shared" si="8"/>
        <v>86539.740000000224</v>
      </c>
      <c r="L119" s="271">
        <f t="shared" si="9"/>
        <v>11997.227217607471</v>
      </c>
      <c r="M119" s="355"/>
      <c r="N119" s="45">
        <f t="shared" si="7"/>
        <v>11997.227217607478</v>
      </c>
    </row>
    <row r="120" spans="1:15" s="5" customFormat="1" ht="13.5" customHeight="1">
      <c r="A120" s="263">
        <v>45163</v>
      </c>
      <c r="B120" s="373" t="s">
        <v>844</v>
      </c>
      <c r="C120" s="355"/>
      <c r="D120" s="290">
        <v>65</v>
      </c>
      <c r="E120" s="355" t="s">
        <v>294</v>
      </c>
      <c r="F120" s="355" t="s">
        <v>322</v>
      </c>
      <c r="G120" s="271"/>
      <c r="H120" s="271"/>
      <c r="I120" s="271">
        <v>9</v>
      </c>
      <c r="J120" s="417">
        <f>I120/'통장내역(환율표)'!$D$120</f>
        <v>1.2476931980436623</v>
      </c>
      <c r="K120" s="271">
        <f t="shared" si="8"/>
        <v>86530.740000000224</v>
      </c>
      <c r="L120" s="271">
        <f t="shared" si="9"/>
        <v>11995.979524409428</v>
      </c>
      <c r="M120" s="355" t="s">
        <v>860</v>
      </c>
      <c r="N120" s="45">
        <f t="shared" si="7"/>
        <v>11995.979524409435</v>
      </c>
    </row>
    <row r="121" spans="1:15" s="5" customFormat="1" ht="13.5" customHeight="1">
      <c r="A121" s="263">
        <v>45163</v>
      </c>
      <c r="B121" s="373" t="s">
        <v>250</v>
      </c>
      <c r="C121" s="355"/>
      <c r="D121" s="290">
        <v>66</v>
      </c>
      <c r="E121" s="355" t="s">
        <v>107</v>
      </c>
      <c r="F121" s="355"/>
      <c r="G121" s="271"/>
      <c r="H121" s="271"/>
      <c r="I121" s="271">
        <v>3.6</v>
      </c>
      <c r="J121" s="417">
        <f>I121/'통장내역(환율표)'!$D$120</f>
        <v>0.49907727921746498</v>
      </c>
      <c r="K121" s="271">
        <f t="shared" si="8"/>
        <v>86527.140000000218</v>
      </c>
      <c r="L121" s="271">
        <f t="shared" si="9"/>
        <v>11995.48044713021</v>
      </c>
      <c r="M121" s="355"/>
      <c r="N121" s="45">
        <f t="shared" si="7"/>
        <v>11995.480447130218</v>
      </c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2.7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2.7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2.7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2.7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s="5" customFormat="1" ht="13.5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s="5" customFormat="1" ht="13.5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s="5" customFormat="1" ht="13.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s="5" customFormat="1" ht="13.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s="5" customFormat="1" ht="13.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4" spans="2:5">
      <c r="B164" s="322"/>
      <c r="C164" s="322"/>
      <c r="D164" s="322"/>
      <c r="E164" s="322"/>
    </row>
    <row r="165" spans="2:5">
      <c r="B165" s="322"/>
    </row>
  </sheetData>
  <autoFilter ref="A18:N163" xr:uid="{00000000-0009-0000-0000-000011000000}">
    <filterColumn colId="1" showButton="0"/>
  </autoFilter>
  <mergeCells count="12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M12:N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30A9-503A-4AD3-9102-6F9C5512D783}">
  <dimension ref="A1:F15"/>
  <sheetViews>
    <sheetView workbookViewId="0">
      <selection activeCell="G30" sqref="G30"/>
    </sheetView>
  </sheetViews>
  <sheetFormatPr defaultRowHeight="16.5"/>
  <sheetData>
    <row r="1" spans="1:6">
      <c r="A1" s="405" t="s">
        <v>723</v>
      </c>
      <c r="B1" s="405" t="s">
        <v>724</v>
      </c>
      <c r="C1" s="405" t="s">
        <v>725</v>
      </c>
      <c r="D1" s="405" t="s">
        <v>726</v>
      </c>
      <c r="E1" s="405" t="s">
        <v>727</v>
      </c>
      <c r="F1" s="405" t="s">
        <v>728</v>
      </c>
    </row>
    <row r="2" spans="1:6">
      <c r="A2" s="408">
        <v>45129</v>
      </c>
      <c r="B2" s="405"/>
      <c r="C2" s="405" t="s">
        <v>729</v>
      </c>
      <c r="D2" s="405">
        <v>1.5</v>
      </c>
      <c r="E2" s="405">
        <f>D2*20</f>
        <v>30</v>
      </c>
      <c r="F2" s="405"/>
    </row>
    <row r="3" spans="1:6">
      <c r="A3" s="408">
        <v>45131</v>
      </c>
      <c r="B3" s="405"/>
      <c r="C3" s="405" t="s">
        <v>729</v>
      </c>
      <c r="D3" s="405">
        <v>3</v>
      </c>
      <c r="E3" s="405">
        <f t="shared" ref="E3:E14" si="0">D3*20</f>
        <v>60</v>
      </c>
      <c r="F3" s="405"/>
    </row>
    <row r="4" spans="1:6">
      <c r="A4" s="408">
        <v>45132</v>
      </c>
      <c r="B4" s="405"/>
      <c r="C4" s="405" t="s">
        <v>729</v>
      </c>
      <c r="D4" s="405">
        <v>6.5</v>
      </c>
      <c r="E4" s="405">
        <f t="shared" si="0"/>
        <v>130</v>
      </c>
      <c r="F4" s="405"/>
    </row>
    <row r="5" spans="1:6">
      <c r="A5" s="408">
        <v>45133</v>
      </c>
      <c r="B5" s="405"/>
      <c r="C5" s="405" t="s">
        <v>729</v>
      </c>
      <c r="D5" s="405">
        <v>3.5</v>
      </c>
      <c r="E5" s="405">
        <f t="shared" si="0"/>
        <v>70</v>
      </c>
      <c r="F5" s="409"/>
    </row>
    <row r="6" spans="1:6">
      <c r="A6" s="408">
        <v>45135</v>
      </c>
      <c r="B6" s="405"/>
      <c r="C6" s="405" t="s">
        <v>729</v>
      </c>
      <c r="D6" s="405">
        <v>3.5</v>
      </c>
      <c r="E6" s="405">
        <f t="shared" si="0"/>
        <v>70</v>
      </c>
      <c r="F6" s="405"/>
    </row>
    <row r="7" spans="1:6">
      <c r="A7" s="408">
        <v>45139</v>
      </c>
      <c r="B7" s="405"/>
      <c r="C7" s="405" t="s">
        <v>729</v>
      </c>
      <c r="D7" s="405">
        <v>1.5</v>
      </c>
      <c r="E7" s="405">
        <f t="shared" si="0"/>
        <v>30</v>
      </c>
      <c r="F7" s="405"/>
    </row>
    <row r="8" spans="1:6">
      <c r="A8" s="408">
        <v>45140</v>
      </c>
      <c r="B8" s="405"/>
      <c r="C8" s="405" t="s">
        <v>729</v>
      </c>
      <c r="D8" s="405">
        <v>3.5</v>
      </c>
      <c r="E8" s="405">
        <f t="shared" si="0"/>
        <v>70</v>
      </c>
      <c r="F8" s="405"/>
    </row>
    <row r="9" spans="1:6">
      <c r="A9" s="408">
        <v>45141</v>
      </c>
      <c r="B9" s="405"/>
      <c r="C9" s="405" t="s">
        <v>729</v>
      </c>
      <c r="D9" s="405">
        <v>4</v>
      </c>
      <c r="E9" s="405">
        <f t="shared" si="0"/>
        <v>80</v>
      </c>
      <c r="F9" s="409"/>
    </row>
    <row r="10" spans="1:6">
      <c r="A10" s="408">
        <v>45142</v>
      </c>
      <c r="B10" s="405"/>
      <c r="C10" s="405" t="s">
        <v>729</v>
      </c>
      <c r="D10" s="405">
        <v>1.5</v>
      </c>
      <c r="E10" s="405">
        <f t="shared" si="0"/>
        <v>30</v>
      </c>
      <c r="F10" s="409"/>
    </row>
    <row r="11" spans="1:6">
      <c r="A11" s="408">
        <v>45144</v>
      </c>
      <c r="B11" s="405"/>
      <c r="C11" s="405" t="s">
        <v>729</v>
      </c>
      <c r="D11" s="405">
        <v>3.5</v>
      </c>
      <c r="E11" s="405">
        <f t="shared" si="0"/>
        <v>70</v>
      </c>
      <c r="F11" s="409"/>
    </row>
    <row r="12" spans="1:6">
      <c r="A12" s="408">
        <v>45147</v>
      </c>
      <c r="B12" s="405"/>
      <c r="C12" s="405" t="s">
        <v>729</v>
      </c>
      <c r="D12" s="405">
        <v>1</v>
      </c>
      <c r="E12" s="405">
        <f t="shared" si="0"/>
        <v>20</v>
      </c>
      <c r="F12" s="409"/>
    </row>
    <row r="13" spans="1:6">
      <c r="A13" s="408">
        <v>45148</v>
      </c>
      <c r="B13" s="405"/>
      <c r="C13" s="405" t="s">
        <v>729</v>
      </c>
      <c r="D13" s="405">
        <v>4</v>
      </c>
      <c r="E13" s="405">
        <f t="shared" si="0"/>
        <v>80</v>
      </c>
      <c r="F13" s="405"/>
    </row>
    <row r="14" spans="1:6">
      <c r="A14" s="408">
        <v>45155</v>
      </c>
      <c r="B14" s="405"/>
      <c r="C14" s="405" t="s">
        <v>729</v>
      </c>
      <c r="D14" s="405">
        <v>1.5</v>
      </c>
      <c r="E14" s="405">
        <f t="shared" si="0"/>
        <v>30</v>
      </c>
      <c r="F14" s="405"/>
    </row>
    <row r="15" spans="1:6">
      <c r="E15">
        <f>SUM(E2:E14)</f>
        <v>770</v>
      </c>
    </row>
  </sheetData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0C9D-0EE3-4CE0-9F46-0CDA851DA676}">
  <sheetPr>
    <tabColor rgb="FFF8DA90"/>
    <pageSetUpPr fitToPage="1"/>
  </sheetPr>
  <dimension ref="A1:R133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E35" sqref="E35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27.25" customWidth="1"/>
    <col min="14" max="14" width="15.125" customWidth="1"/>
    <col min="15" max="15" width="11.625" bestFit="1" customWidth="1"/>
    <col min="16" max="16" width="9.625" bestFit="1" customWidth="1"/>
    <col min="17" max="17" width="13.25" bestFit="1" customWidth="1"/>
    <col min="18" max="18" width="10" bestFit="1" customWidth="1"/>
  </cols>
  <sheetData>
    <row r="1" spans="1:18" ht="23.25" customHeight="1">
      <c r="A1" s="1" t="s">
        <v>365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25">
      <c r="A2" s="130" t="s">
        <v>936</v>
      </c>
      <c r="B2" s="2"/>
      <c r="C2" s="2"/>
      <c r="E2" s="4">
        <v>100000210</v>
      </c>
      <c r="F2" s="119"/>
      <c r="G2" s="130" t="s">
        <v>937</v>
      </c>
      <c r="H2" s="2"/>
      <c r="I2" s="2"/>
      <c r="K2" s="4">
        <v>100000210</v>
      </c>
      <c r="L2" s="372"/>
    </row>
    <row r="3" spans="1:18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8" s="5" customFormat="1" ht="13.5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8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14171.77</v>
      </c>
      <c r="J5" s="116">
        <v>1947.18</v>
      </c>
      <c r="K5" s="117">
        <v>2596370</v>
      </c>
      <c r="L5" s="348"/>
      <c r="R5" s="425">
        <f t="shared" ref="R5:R10" si="0">E5+K5+Q5</f>
        <v>2596370</v>
      </c>
    </row>
    <row r="6" spans="1:18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24866.010000000002</v>
      </c>
      <c r="J6" s="116">
        <v>3416.56</v>
      </c>
      <c r="K6" s="117">
        <v>4555641</v>
      </c>
      <c r="L6" s="248">
        <f t="shared" ref="L6:L11" si="1">K6+E6</f>
        <v>4555641</v>
      </c>
      <c r="R6" s="425">
        <f t="shared" si="0"/>
        <v>4555641</v>
      </c>
    </row>
    <row r="7" spans="1:18" s="5" customFormat="1" ht="13.5">
      <c r="A7" s="114" t="s">
        <v>75</v>
      </c>
      <c r="B7" s="115" t="s">
        <v>16</v>
      </c>
      <c r="C7" s="116">
        <v>20023</v>
      </c>
      <c r="D7" s="116">
        <v>2775.84</v>
      </c>
      <c r="E7" s="117">
        <v>3659390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3659390</v>
      </c>
      <c r="R7" s="425">
        <f t="shared" si="0"/>
        <v>3659390</v>
      </c>
    </row>
    <row r="8" spans="1:18" s="5" customFormat="1" ht="13.5">
      <c r="A8" s="114" t="s">
        <v>75</v>
      </c>
      <c r="B8" s="114" t="s">
        <v>17</v>
      </c>
      <c r="C8" s="116">
        <v>10500</v>
      </c>
      <c r="D8" s="116">
        <v>1455.64</v>
      </c>
      <c r="E8" s="117">
        <v>1918970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1918970</v>
      </c>
      <c r="R8" s="425">
        <f t="shared" si="0"/>
        <v>1918970</v>
      </c>
    </row>
    <row r="9" spans="1:18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1591</v>
      </c>
      <c r="J9" s="116">
        <v>218.6</v>
      </c>
      <c r="K9" s="117">
        <v>291481</v>
      </c>
      <c r="L9" s="248">
        <f t="shared" si="1"/>
        <v>291481</v>
      </c>
      <c r="R9" s="425">
        <f t="shared" si="0"/>
        <v>291481</v>
      </c>
    </row>
    <row r="10" spans="1:18" s="5" customFormat="1" ht="13.5">
      <c r="A10" s="114" t="s">
        <v>62</v>
      </c>
      <c r="B10" s="115"/>
      <c r="C10" s="116">
        <v>56175.240000000224</v>
      </c>
      <c r="D10" s="116">
        <v>7787.72</v>
      </c>
      <c r="E10" s="117">
        <v>10266551</v>
      </c>
      <c r="F10" s="121">
        <v>51321010</v>
      </c>
      <c r="G10" s="114" t="s">
        <v>62</v>
      </c>
      <c r="H10" s="115"/>
      <c r="I10" s="116">
        <v>188670.38999999984</v>
      </c>
      <c r="J10" s="116">
        <v>25949.05</v>
      </c>
      <c r="K10" s="117">
        <v>34600463</v>
      </c>
      <c r="L10" s="248">
        <f t="shared" si="1"/>
        <v>44867014</v>
      </c>
      <c r="R10" s="425">
        <f t="shared" si="0"/>
        <v>44867014</v>
      </c>
    </row>
    <row r="11" spans="1:18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</row>
    <row r="12" spans="1:18" s="5" customFormat="1" ht="13.5">
      <c r="A12" s="1516" t="s">
        <v>299</v>
      </c>
      <c r="B12" s="1517"/>
      <c r="C12" s="467">
        <f>SUM(C4:C10)-C14</f>
        <v>86527.140000000218</v>
      </c>
      <c r="D12" s="467">
        <f>SUM(D4:D10)-D14</f>
        <v>11995.480000000001</v>
      </c>
      <c r="E12" s="468">
        <f>SUM(E4:E10)-E14</f>
        <v>15813641</v>
      </c>
      <c r="G12" s="1493" t="s">
        <v>299</v>
      </c>
      <c r="H12" s="1494"/>
      <c r="I12" s="124">
        <f>SUM(I4:I11)</f>
        <v>229299.16999999984</v>
      </c>
      <c r="J12" s="124">
        <f>SUM(J4:J11)</f>
        <v>31531.39</v>
      </c>
      <c r="K12" s="125">
        <f>SUM(K4:K11)</f>
        <v>42043955</v>
      </c>
      <c r="L12" s="119"/>
    </row>
    <row r="13" spans="1:18" s="5" customFormat="1" ht="14.25" customHeight="1">
      <c r="A13" s="126"/>
      <c r="B13" s="315"/>
      <c r="C13" s="469">
        <f>C12+I12</f>
        <v>315826.31000000006</v>
      </c>
      <c r="D13" s="469">
        <f>D12+J12</f>
        <v>43526.87</v>
      </c>
      <c r="E13" s="470">
        <f>E12+K12</f>
        <v>57857596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.5">
      <c r="A14" s="2" t="s">
        <v>60</v>
      </c>
      <c r="C14" s="398">
        <v>171.1</v>
      </c>
      <c r="D14" s="398">
        <v>23.72</v>
      </c>
      <c r="E14" s="471">
        <v>31270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.5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.5">
      <c r="B16" s="134">
        <v>13081010</v>
      </c>
      <c r="C16" s="135"/>
      <c r="D16" s="135"/>
      <c r="G16" s="6"/>
      <c r="H16" s="137"/>
      <c r="I16" s="137" t="e">
        <f>SUBTOTAL(9,I19:I142)</f>
        <v>#REF!</v>
      </c>
      <c r="J16" s="137" t="e">
        <f>SUBTOTAL(9,J19:J140)</f>
        <v>#REF!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45169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86527.140000000218</v>
      </c>
      <c r="L19" s="241">
        <v>11995.48044713021</v>
      </c>
      <c r="M19" s="240"/>
      <c r="N19" s="45">
        <v>11995.480447130218</v>
      </c>
    </row>
    <row r="20" spans="1:14" s="5" customFormat="1" ht="13.5" customHeight="1">
      <c r="A20" s="376">
        <v>45181</v>
      </c>
      <c r="B20" s="377" t="s">
        <v>643</v>
      </c>
      <c r="C20" s="377"/>
      <c r="D20" s="378">
        <v>1</v>
      </c>
      <c r="E20" s="188"/>
      <c r="F20" s="377"/>
      <c r="G20" s="379">
        <v>550449.48</v>
      </c>
      <c r="H20" s="380">
        <v>75657</v>
      </c>
      <c r="I20" s="381"/>
      <c r="J20" s="417">
        <f>I20/'통장내역(환율표)'!$D$120</f>
        <v>0</v>
      </c>
      <c r="K20" s="380">
        <f t="shared" ref="K20:L22" si="2">K19+G20-I20</f>
        <v>636976.62000000023</v>
      </c>
      <c r="L20" s="380">
        <f t="shared" si="2"/>
        <v>87652.480447130205</v>
      </c>
      <c r="M20" s="383"/>
      <c r="N20" s="45"/>
    </row>
    <row r="21" spans="1:14" s="5" customFormat="1" ht="13.5" customHeight="1">
      <c r="A21" s="376">
        <v>45181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431">
        <v>26</v>
      </c>
      <c r="K21" s="380">
        <f t="shared" si="2"/>
        <v>636976.62000000023</v>
      </c>
      <c r="L21" s="380">
        <f t="shared" si="2"/>
        <v>87626.480447130205</v>
      </c>
      <c r="M21" s="383"/>
      <c r="N21" s="45"/>
    </row>
    <row r="22" spans="1:14" s="5" customFormat="1" ht="13.5" customHeight="1">
      <c r="A22" s="263">
        <v>45190</v>
      </c>
      <c r="B22" s="373" t="s">
        <v>884</v>
      </c>
      <c r="C22" s="33"/>
      <c r="D22" s="37">
        <v>2</v>
      </c>
      <c r="E22" s="466" t="s">
        <v>60</v>
      </c>
      <c r="F22" s="355"/>
      <c r="G22" s="375">
        <v>171.1</v>
      </c>
      <c r="H22" s="384">
        <f>G22/'통장내역(환율표)'!$D$120</f>
        <v>23.720034020585626</v>
      </c>
      <c r="I22" s="278"/>
      <c r="J22" s="417">
        <f>I22/'통장내역(환율표)'!$D$120</f>
        <v>0</v>
      </c>
      <c r="K22" s="271">
        <f t="shared" si="2"/>
        <v>637147.7200000002</v>
      </c>
      <c r="L22" s="271">
        <f t="shared" si="2"/>
        <v>87650.200481150794</v>
      </c>
      <c r="M22" s="33"/>
      <c r="N22" s="45">
        <f>N19-J22+H22</f>
        <v>12019.200481150803</v>
      </c>
    </row>
    <row r="23" spans="1:14" s="5" customFormat="1" ht="13.5" customHeight="1">
      <c r="A23" s="263">
        <v>45190</v>
      </c>
      <c r="B23" s="373" t="s">
        <v>885</v>
      </c>
      <c r="C23" s="37"/>
      <c r="D23" s="37">
        <v>3</v>
      </c>
      <c r="E23" s="37" t="s">
        <v>107</v>
      </c>
      <c r="F23" s="355"/>
      <c r="G23" s="375"/>
      <c r="H23" s="33"/>
      <c r="I23" s="278">
        <v>1010</v>
      </c>
      <c r="J23" s="417">
        <f>I23/'통장내역(환율표)'!$D$120</f>
        <v>140.01890333601099</v>
      </c>
      <c r="K23" s="271">
        <f t="shared" ref="K23:K33" si="3">K22+G23-I23</f>
        <v>636137.7200000002</v>
      </c>
      <c r="L23" s="271">
        <f t="shared" ref="L23:L33" si="4">L22+H23-J23</f>
        <v>87510.181577814787</v>
      </c>
      <c r="M23" s="33"/>
      <c r="N23" s="45">
        <f>N22-J23+H23</f>
        <v>11879.181577814792</v>
      </c>
    </row>
    <row r="24" spans="1:14" s="5" customFormat="1" ht="13.5" customHeight="1">
      <c r="A24" s="263">
        <v>45190</v>
      </c>
      <c r="B24" s="373" t="s">
        <v>250</v>
      </c>
      <c r="C24" s="37"/>
      <c r="D24" s="37">
        <v>4</v>
      </c>
      <c r="E24" s="37" t="s">
        <v>107</v>
      </c>
      <c r="F24" s="355"/>
      <c r="G24" s="375"/>
      <c r="H24" s="33"/>
      <c r="I24" s="278">
        <v>3.6</v>
      </c>
      <c r="J24" s="417">
        <f>I24/'통장내역(환율표)'!$D$120</f>
        <v>0.49907727921746498</v>
      </c>
      <c r="K24" s="271">
        <f t="shared" si="3"/>
        <v>636134.12000000023</v>
      </c>
      <c r="L24" s="271">
        <f t="shared" si="4"/>
        <v>87509.682500535564</v>
      </c>
      <c r="M24" s="33"/>
      <c r="N24" s="45">
        <f t="shared" ref="N24:N33" si="5">N23-J24+H24</f>
        <v>11878.682500535575</v>
      </c>
    </row>
    <row r="25" spans="1:14" s="5" customFormat="1" ht="13.5" customHeight="1">
      <c r="A25" s="263">
        <v>45190</v>
      </c>
      <c r="B25" s="373" t="s">
        <v>304</v>
      </c>
      <c r="C25" s="37"/>
      <c r="D25" s="37">
        <v>5</v>
      </c>
      <c r="E25" s="37" t="s">
        <v>105</v>
      </c>
      <c r="F25" s="355" t="s">
        <v>76</v>
      </c>
      <c r="G25" s="375"/>
      <c r="H25" s="33"/>
      <c r="I25" s="278">
        <v>20023</v>
      </c>
      <c r="J25" s="417">
        <f>I25/'통장내역(환율표)'!$D$120</f>
        <v>2775.8401004920279</v>
      </c>
      <c r="K25" s="271">
        <f t="shared" si="3"/>
        <v>616111.12000000023</v>
      </c>
      <c r="L25" s="271">
        <f t="shared" si="4"/>
        <v>84733.842400043533</v>
      </c>
      <c r="M25" s="291"/>
      <c r="N25" s="45">
        <f t="shared" si="5"/>
        <v>9102.842400043548</v>
      </c>
    </row>
    <row r="26" spans="1:14" s="5" customFormat="1" ht="13.5" customHeight="1">
      <c r="A26" s="263">
        <v>45190</v>
      </c>
      <c r="B26" s="373" t="s">
        <v>250</v>
      </c>
      <c r="C26" s="37"/>
      <c r="D26" s="37">
        <v>6</v>
      </c>
      <c r="E26" s="37" t="s">
        <v>107</v>
      </c>
      <c r="F26" s="355"/>
      <c r="G26" s="375"/>
      <c r="H26" s="33"/>
      <c r="I26" s="278">
        <v>7.2</v>
      </c>
      <c r="J26" s="417">
        <f>I26/'통장내역(환율표)'!$D$120</f>
        <v>0.99815455843492995</v>
      </c>
      <c r="K26" s="271">
        <f t="shared" si="3"/>
        <v>616103.92000000027</v>
      </c>
      <c r="L26" s="271">
        <f t="shared" si="4"/>
        <v>84732.844245485103</v>
      </c>
      <c r="M26" s="291"/>
      <c r="N26" s="45">
        <f t="shared" si="5"/>
        <v>9101.8442454851138</v>
      </c>
    </row>
    <row r="27" spans="1:14" s="5" customFormat="1" ht="13.5" customHeight="1">
      <c r="A27" s="263">
        <v>45190</v>
      </c>
      <c r="B27" s="373" t="s">
        <v>732</v>
      </c>
      <c r="C27" s="37"/>
      <c r="D27" s="37">
        <v>7</v>
      </c>
      <c r="E27" s="37" t="s">
        <v>107</v>
      </c>
      <c r="F27" s="355"/>
      <c r="G27" s="375"/>
      <c r="H27" s="33"/>
      <c r="I27" s="278">
        <v>1601.72</v>
      </c>
      <c r="J27" s="417">
        <f>I27/'통장내역(환율표)'!$D$120</f>
        <v>222.050572130055</v>
      </c>
      <c r="K27" s="271">
        <f t="shared" si="3"/>
        <v>614502.2000000003</v>
      </c>
      <c r="L27" s="271">
        <f t="shared" si="4"/>
        <v>84510.793673355045</v>
      </c>
      <c r="M27" s="291"/>
      <c r="N27" s="45">
        <f t="shared" si="5"/>
        <v>8879.7936733550596</v>
      </c>
    </row>
    <row r="28" spans="1:14" s="5" customFormat="1" ht="13.5" customHeight="1">
      <c r="A28" s="263">
        <v>45190</v>
      </c>
      <c r="B28" s="373" t="s">
        <v>250</v>
      </c>
      <c r="C28" s="37"/>
      <c r="D28" s="37">
        <v>8</v>
      </c>
      <c r="E28" s="37" t="s">
        <v>107</v>
      </c>
      <c r="F28" s="355"/>
      <c r="G28" s="375"/>
      <c r="H28" s="33"/>
      <c r="I28" s="278">
        <v>3.6</v>
      </c>
      <c r="J28" s="417">
        <f>I28/'통장내역(환율표)'!$D$120</f>
        <v>0.49907727921746498</v>
      </c>
      <c r="K28" s="271">
        <f t="shared" si="3"/>
        <v>614498.60000000033</v>
      </c>
      <c r="L28" s="271">
        <f t="shared" si="4"/>
        <v>84510.294596075822</v>
      </c>
      <c r="M28" s="291"/>
      <c r="N28" s="45">
        <f t="shared" si="5"/>
        <v>8879.2945960758425</v>
      </c>
    </row>
    <row r="29" spans="1:14" s="5" customFormat="1" ht="13.5" customHeight="1">
      <c r="A29" s="263">
        <v>45190</v>
      </c>
      <c r="B29" s="321" t="s">
        <v>346</v>
      </c>
      <c r="C29" s="37"/>
      <c r="D29" s="37">
        <v>9</v>
      </c>
      <c r="E29" s="355" t="s">
        <v>105</v>
      </c>
      <c r="F29" s="355" t="s">
        <v>934</v>
      </c>
      <c r="G29" s="375"/>
      <c r="H29" s="384">
        <f>I29*2</f>
        <v>21000</v>
      </c>
      <c r="I29" s="278">
        <v>10500</v>
      </c>
      <c r="J29" s="417">
        <f>I29/'통장내역(환율표)'!$D$120</f>
        <v>1455.6420643842728</v>
      </c>
      <c r="K29" s="271">
        <f t="shared" si="3"/>
        <v>603998.60000000033</v>
      </c>
      <c r="L29" s="271">
        <f t="shared" si="4"/>
        <v>104054.65253169155</v>
      </c>
      <c r="M29" s="291"/>
      <c r="N29" s="45">
        <f t="shared" si="5"/>
        <v>28423.652531691569</v>
      </c>
    </row>
    <row r="30" spans="1:14" s="5" customFormat="1" ht="13.5" customHeight="1">
      <c r="A30" s="263">
        <v>45190</v>
      </c>
      <c r="B30" s="321" t="s">
        <v>347</v>
      </c>
      <c r="C30" s="37"/>
      <c r="D30" s="37">
        <v>10</v>
      </c>
      <c r="E30" s="355" t="s">
        <v>107</v>
      </c>
      <c r="F30" s="355"/>
      <c r="G30" s="375"/>
      <c r="H30" s="384">
        <f>I30*2</f>
        <v>12000</v>
      </c>
      <c r="I30" s="278">
        <v>6000</v>
      </c>
      <c r="J30" s="417">
        <f>I30/'통장내역(환율표)'!$D$120</f>
        <v>831.79546536244163</v>
      </c>
      <c r="K30" s="271">
        <f t="shared" si="3"/>
        <v>597998.60000000033</v>
      </c>
      <c r="L30" s="271">
        <f t="shared" si="4"/>
        <v>115222.8570663291</v>
      </c>
      <c r="M30" s="291"/>
      <c r="N30" s="45">
        <f t="shared" si="5"/>
        <v>39591.857066329132</v>
      </c>
    </row>
    <row r="31" spans="1:14" s="5" customFormat="1" ht="13.5" customHeight="1">
      <c r="A31" s="263">
        <v>45190</v>
      </c>
      <c r="B31" s="321" t="s">
        <v>351</v>
      </c>
      <c r="C31" s="37"/>
      <c r="D31" s="37">
        <v>11</v>
      </c>
      <c r="E31" s="355" t="s">
        <v>107</v>
      </c>
      <c r="F31" s="355"/>
      <c r="G31" s="375"/>
      <c r="H31" s="33"/>
      <c r="I31" s="278">
        <v>730</v>
      </c>
      <c r="J31" s="417">
        <f>I31/'통장내역(환율표)'!$D$120</f>
        <v>101.20178161909706</v>
      </c>
      <c r="K31" s="271">
        <f t="shared" si="3"/>
        <v>597268.60000000033</v>
      </c>
      <c r="L31" s="271">
        <f t="shared" si="4"/>
        <v>115121.65528471001</v>
      </c>
      <c r="M31" s="291"/>
      <c r="N31" s="45">
        <f t="shared" si="5"/>
        <v>39490.655284710032</v>
      </c>
    </row>
    <row r="32" spans="1:14" s="5" customFormat="1" ht="13.5" customHeight="1">
      <c r="A32" s="263">
        <v>45190</v>
      </c>
      <c r="B32" s="321" t="s">
        <v>250</v>
      </c>
      <c r="C32" s="37"/>
      <c r="D32" s="37">
        <v>12</v>
      </c>
      <c r="E32" s="355" t="s">
        <v>107</v>
      </c>
      <c r="F32" s="355"/>
      <c r="G32" s="375"/>
      <c r="H32" s="33"/>
      <c r="I32" s="278">
        <v>7.2</v>
      </c>
      <c r="J32" s="417">
        <f>I32/'통장내역(환율표)'!$D$120</f>
        <v>0.99815455843492995</v>
      </c>
      <c r="K32" s="271">
        <f t="shared" si="3"/>
        <v>597261.40000000037</v>
      </c>
      <c r="L32" s="271">
        <f t="shared" si="4"/>
        <v>115120.65713015158</v>
      </c>
      <c r="M32" s="291"/>
      <c r="N32" s="45">
        <f t="shared" si="5"/>
        <v>39489.657130151594</v>
      </c>
    </row>
    <row r="33" spans="1:14" s="5" customFormat="1" ht="13.5" customHeight="1">
      <c r="A33" s="435">
        <v>45190</v>
      </c>
      <c r="B33" s="436" t="s">
        <v>932</v>
      </c>
      <c r="C33" s="226"/>
      <c r="D33" s="226">
        <v>13</v>
      </c>
      <c r="E33" s="437" t="s">
        <v>107</v>
      </c>
      <c r="F33" s="437"/>
      <c r="G33" s="438"/>
      <c r="H33" s="227"/>
      <c r="I33" s="233">
        <f>J33*'통장내역(환율표)'!$D$120</f>
        <v>46811.920000000224</v>
      </c>
      <c r="J33" s="417">
        <v>6489.6571301515951</v>
      </c>
      <c r="K33" s="439">
        <f t="shared" si="3"/>
        <v>550449.4800000001</v>
      </c>
      <c r="L33" s="439">
        <f t="shared" si="4"/>
        <v>108630.99999999999</v>
      </c>
      <c r="M33" s="440"/>
      <c r="N33" s="45">
        <f t="shared" si="5"/>
        <v>33000</v>
      </c>
    </row>
    <row r="34" spans="1:14" s="5" customFormat="1" ht="13.5" customHeight="1">
      <c r="A34" s="435">
        <v>45190</v>
      </c>
      <c r="B34" s="436" t="s">
        <v>933</v>
      </c>
      <c r="C34" s="226"/>
      <c r="D34" s="226">
        <v>13</v>
      </c>
      <c r="E34" s="437" t="s">
        <v>107</v>
      </c>
      <c r="F34" s="437"/>
      <c r="G34" s="438"/>
      <c r="H34" s="227"/>
      <c r="I34" s="233">
        <f>67500-I33</f>
        <v>20688.079999999776</v>
      </c>
      <c r="J34" s="431">
        <f>I34/'통장내역(환율표)'!$D$127</f>
        <v>2842.5136825998693</v>
      </c>
      <c r="K34" s="439">
        <f t="shared" ref="K34:K92" si="6">K33+G34-I34</f>
        <v>529761.40000000037</v>
      </c>
      <c r="L34" s="439">
        <f t="shared" ref="L34:L92" si="7">L33+H34-J34</f>
        <v>105788.48631740012</v>
      </c>
      <c r="M34" s="440"/>
      <c r="N34" s="45">
        <f>75631-J34</f>
        <v>72788.486317400137</v>
      </c>
    </row>
    <row r="35" spans="1:14" s="5" customFormat="1" ht="13.5" customHeight="1">
      <c r="A35" s="263">
        <v>45190</v>
      </c>
      <c r="B35" s="321" t="s">
        <v>250</v>
      </c>
      <c r="C35" s="37"/>
      <c r="D35" s="37">
        <v>14</v>
      </c>
      <c r="E35" s="355" t="s">
        <v>107</v>
      </c>
      <c r="F35" s="355"/>
      <c r="G35" s="375"/>
      <c r="H35" s="33"/>
      <c r="I35" s="278">
        <v>7.2</v>
      </c>
      <c r="J35" s="431">
        <f>I35/'통장내역(환율표)'!$D$127</f>
        <v>0.9892700779733683</v>
      </c>
      <c r="K35" s="271">
        <f t="shared" si="6"/>
        <v>529754.20000000042</v>
      </c>
      <c r="L35" s="271">
        <f t="shared" si="7"/>
        <v>105787.49704732215</v>
      </c>
      <c r="M35" s="291"/>
      <c r="N35" s="45">
        <f>N34-J35</f>
        <v>72787.497047322162</v>
      </c>
    </row>
    <row r="36" spans="1:14" s="5" customFormat="1" ht="13.5" customHeight="1">
      <c r="A36" s="263">
        <v>45190</v>
      </c>
      <c r="B36" s="427" t="s">
        <v>892</v>
      </c>
      <c r="C36" s="355"/>
      <c r="D36" s="37">
        <v>15</v>
      </c>
      <c r="E36" s="355" t="s">
        <v>107</v>
      </c>
      <c r="F36" s="355"/>
      <c r="G36" s="271"/>
      <c r="H36" s="271"/>
      <c r="I36" s="278">
        <v>15000</v>
      </c>
      <c r="J36" s="431">
        <f>I36/'통장내역(환율표)'!$D$127</f>
        <v>2060.9793291111841</v>
      </c>
      <c r="K36" s="271">
        <f t="shared" si="6"/>
        <v>514754.20000000042</v>
      </c>
      <c r="L36" s="271">
        <f t="shared" si="7"/>
        <v>103726.51771821096</v>
      </c>
      <c r="M36" s="355" t="s">
        <v>247</v>
      </c>
      <c r="N36" s="45">
        <f t="shared" ref="N36:N92" si="8">N35-J36</f>
        <v>70726.517718210976</v>
      </c>
    </row>
    <row r="37" spans="1:14" s="5" customFormat="1" ht="13.5" customHeight="1">
      <c r="A37" s="263">
        <v>45190</v>
      </c>
      <c r="B37" s="432" t="s">
        <v>893</v>
      </c>
      <c r="C37" s="355"/>
      <c r="D37" s="37">
        <v>15</v>
      </c>
      <c r="E37" s="355" t="s">
        <v>107</v>
      </c>
      <c r="F37" s="355"/>
      <c r="G37" s="271"/>
      <c r="H37" s="271"/>
      <c r="I37" s="278">
        <v>22000</v>
      </c>
      <c r="J37" s="431">
        <f>I37/'통장내역(환율표)'!$D$127</f>
        <v>3022.7696826964034</v>
      </c>
      <c r="K37" s="271">
        <f t="shared" si="6"/>
        <v>492754.20000000042</v>
      </c>
      <c r="L37" s="271">
        <f t="shared" si="7"/>
        <v>100703.74803551455</v>
      </c>
      <c r="M37" s="355" t="s">
        <v>247</v>
      </c>
      <c r="N37" s="45">
        <f t="shared" si="8"/>
        <v>67703.748035514567</v>
      </c>
    </row>
    <row r="38" spans="1:14" s="5" customFormat="1" ht="13.5" customHeight="1">
      <c r="A38" s="263">
        <v>45190</v>
      </c>
      <c r="B38" s="432" t="s">
        <v>894</v>
      </c>
      <c r="C38" s="355"/>
      <c r="D38" s="37">
        <v>15</v>
      </c>
      <c r="E38" s="355" t="s">
        <v>107</v>
      </c>
      <c r="F38" s="355"/>
      <c r="G38" s="271"/>
      <c r="H38" s="271"/>
      <c r="I38" s="278">
        <v>8453.39</v>
      </c>
      <c r="J38" s="431">
        <f>I38/'통장내역(환율표)'!$D$127</f>
        <v>1161.4841367276795</v>
      </c>
      <c r="K38" s="271">
        <f t="shared" si="6"/>
        <v>484300.81000000041</v>
      </c>
      <c r="L38" s="271">
        <f t="shared" si="7"/>
        <v>99542.26389878687</v>
      </c>
      <c r="M38" s="355" t="s">
        <v>247</v>
      </c>
      <c r="N38" s="45">
        <f t="shared" si="8"/>
        <v>66542.263898786885</v>
      </c>
    </row>
    <row r="39" spans="1:14" s="5" customFormat="1" ht="13.5" customHeight="1">
      <c r="A39" s="263">
        <v>45190</v>
      </c>
      <c r="B39" s="432" t="s">
        <v>895</v>
      </c>
      <c r="C39" s="355"/>
      <c r="D39" s="37">
        <v>15</v>
      </c>
      <c r="E39" s="355" t="s">
        <v>107</v>
      </c>
      <c r="F39" s="355"/>
      <c r="G39" s="271"/>
      <c r="H39" s="271"/>
      <c r="I39" s="278">
        <v>5738.5900000000038</v>
      </c>
      <c r="J39" s="431">
        <f>I39/'통장내역(환율표)'!$D$127</f>
        <v>788.47435788294376</v>
      </c>
      <c r="K39" s="271">
        <f t="shared" si="6"/>
        <v>478562.22000000038</v>
      </c>
      <c r="L39" s="271">
        <f t="shared" si="7"/>
        <v>98753.789540903934</v>
      </c>
      <c r="M39" s="355" t="s">
        <v>247</v>
      </c>
      <c r="N39" s="45">
        <f t="shared" si="8"/>
        <v>65753.789540903948</v>
      </c>
    </row>
    <row r="40" spans="1:14" s="5" customFormat="1" ht="13.5" customHeight="1">
      <c r="A40" s="263">
        <v>45190</v>
      </c>
      <c r="B40" s="35" t="s">
        <v>896</v>
      </c>
      <c r="C40" s="355"/>
      <c r="D40" s="37">
        <v>15</v>
      </c>
      <c r="E40" s="355" t="s">
        <v>107</v>
      </c>
      <c r="F40" s="355"/>
      <c r="G40" s="271"/>
      <c r="H40" s="271"/>
      <c r="I40" s="278">
        <v>300</v>
      </c>
      <c r="J40" s="431">
        <f>I40/'통장내역(환율표)'!$D$127</f>
        <v>41.219586582223677</v>
      </c>
      <c r="K40" s="271">
        <f t="shared" si="6"/>
        <v>478262.22000000038</v>
      </c>
      <c r="L40" s="271">
        <f t="shared" si="7"/>
        <v>98712.569954321705</v>
      </c>
      <c r="M40" s="355" t="s">
        <v>247</v>
      </c>
      <c r="N40" s="45">
        <f t="shared" si="8"/>
        <v>65712.56995432172</v>
      </c>
    </row>
    <row r="41" spans="1:14" s="5" customFormat="1" ht="12.75" customHeight="1">
      <c r="A41" s="263">
        <v>45190</v>
      </c>
      <c r="B41" s="432" t="s">
        <v>892</v>
      </c>
      <c r="C41" s="355"/>
      <c r="D41" s="37">
        <v>15</v>
      </c>
      <c r="E41" s="355" t="s">
        <v>107</v>
      </c>
      <c r="F41" s="355"/>
      <c r="G41" s="271"/>
      <c r="H41" s="271"/>
      <c r="I41" s="278">
        <v>15000</v>
      </c>
      <c r="J41" s="431">
        <f>I41/'통장내역(환율표)'!$D$127</f>
        <v>2060.9793291111841</v>
      </c>
      <c r="K41" s="271">
        <f t="shared" si="6"/>
        <v>463262.22000000038</v>
      </c>
      <c r="L41" s="271">
        <f t="shared" si="7"/>
        <v>96651.59062521052</v>
      </c>
      <c r="M41" s="355" t="s">
        <v>211</v>
      </c>
      <c r="N41" s="45">
        <f t="shared" si="8"/>
        <v>63651.590625210534</v>
      </c>
    </row>
    <row r="42" spans="1:14" s="5" customFormat="1" ht="13.5" customHeight="1">
      <c r="A42" s="263">
        <v>45190</v>
      </c>
      <c r="B42" s="432" t="s">
        <v>893</v>
      </c>
      <c r="C42" s="355"/>
      <c r="D42" s="37">
        <v>15</v>
      </c>
      <c r="E42" s="355" t="s">
        <v>107</v>
      </c>
      <c r="F42" s="355"/>
      <c r="G42" s="271"/>
      <c r="H42" s="271"/>
      <c r="I42" s="278">
        <v>22000</v>
      </c>
      <c r="J42" s="431">
        <f>I42/'통장내역(환율표)'!$D$127</f>
        <v>3022.7696826964034</v>
      </c>
      <c r="K42" s="271">
        <f t="shared" si="6"/>
        <v>441262.22000000038</v>
      </c>
      <c r="L42" s="271">
        <f t="shared" si="7"/>
        <v>93628.82094251411</v>
      </c>
      <c r="M42" s="355" t="s">
        <v>211</v>
      </c>
      <c r="N42" s="45">
        <f t="shared" si="8"/>
        <v>60628.820942514132</v>
      </c>
    </row>
    <row r="43" spans="1:14" s="5" customFormat="1" ht="13.5" customHeight="1">
      <c r="A43" s="263">
        <v>45190</v>
      </c>
      <c r="B43" s="432" t="s">
        <v>894</v>
      </c>
      <c r="C43" s="355"/>
      <c r="D43" s="37">
        <v>15</v>
      </c>
      <c r="E43" s="355" t="s">
        <v>107</v>
      </c>
      <c r="F43" s="355"/>
      <c r="G43" s="271"/>
      <c r="H43" s="271"/>
      <c r="I43" s="278">
        <v>4703.3899999999994</v>
      </c>
      <c r="J43" s="431">
        <f>I43/'통장내역(환율표)'!$D$127</f>
        <v>646.23930444988332</v>
      </c>
      <c r="K43" s="271">
        <f t="shared" si="6"/>
        <v>436558.83000000037</v>
      </c>
      <c r="L43" s="271">
        <f t="shared" si="7"/>
        <v>92982.581638064221</v>
      </c>
      <c r="M43" s="355" t="s">
        <v>211</v>
      </c>
      <c r="N43" s="45">
        <f t="shared" si="8"/>
        <v>59982.58163806425</v>
      </c>
    </row>
    <row r="44" spans="1:14" s="5" customFormat="1" ht="13.5" customHeight="1">
      <c r="A44" s="263">
        <v>45190</v>
      </c>
      <c r="B44" s="432" t="s">
        <v>895</v>
      </c>
      <c r="C44" s="355"/>
      <c r="D44" s="37">
        <v>15</v>
      </c>
      <c r="E44" s="355" t="s">
        <v>107</v>
      </c>
      <c r="F44" s="355"/>
      <c r="G44" s="271"/>
      <c r="H44" s="271"/>
      <c r="I44" s="278">
        <v>6098.5900000000038</v>
      </c>
      <c r="J44" s="431">
        <f>I44/'통장내역(환율표)'!$D$127</f>
        <v>837.93786178161224</v>
      </c>
      <c r="K44" s="271">
        <f t="shared" si="6"/>
        <v>430460.24000000034</v>
      </c>
      <c r="L44" s="271">
        <f t="shared" si="7"/>
        <v>92144.64377628261</v>
      </c>
      <c r="M44" s="355" t="s">
        <v>211</v>
      </c>
      <c r="N44" s="45">
        <f t="shared" si="8"/>
        <v>59144.643776282639</v>
      </c>
    </row>
    <row r="45" spans="1:14" s="5" customFormat="1" ht="13.5" customHeight="1">
      <c r="A45" s="263">
        <v>45190</v>
      </c>
      <c r="B45" s="35" t="s">
        <v>896</v>
      </c>
      <c r="C45" s="355"/>
      <c r="D45" s="37">
        <v>15</v>
      </c>
      <c r="E45" s="355" t="s">
        <v>107</v>
      </c>
      <c r="F45" s="355"/>
      <c r="G45" s="271"/>
      <c r="H45" s="271"/>
      <c r="I45" s="278">
        <v>300</v>
      </c>
      <c r="J45" s="431">
        <f>I45/'통장내역(환율표)'!$D$127</f>
        <v>41.219586582223677</v>
      </c>
      <c r="K45" s="271">
        <f t="shared" si="6"/>
        <v>430160.24000000034</v>
      </c>
      <c r="L45" s="271">
        <f t="shared" si="7"/>
        <v>92103.424189700381</v>
      </c>
      <c r="M45" s="355" t="s">
        <v>211</v>
      </c>
      <c r="N45" s="45">
        <f t="shared" si="8"/>
        <v>59103.424189700418</v>
      </c>
    </row>
    <row r="46" spans="1:14" s="5" customFormat="1" ht="14.25" customHeight="1">
      <c r="A46" s="263">
        <v>45190</v>
      </c>
      <c r="B46" s="433" t="s">
        <v>898</v>
      </c>
      <c r="C46" s="355"/>
      <c r="D46" s="37">
        <v>15</v>
      </c>
      <c r="E46" s="355" t="s">
        <v>107</v>
      </c>
      <c r="F46" s="355"/>
      <c r="G46" s="271"/>
      <c r="H46" s="271"/>
      <c r="I46" s="278">
        <v>25000</v>
      </c>
      <c r="J46" s="431">
        <f>I46/'통장내역(환율표)'!$D$127</f>
        <v>3434.9655485186399</v>
      </c>
      <c r="K46" s="271">
        <f t="shared" si="6"/>
        <v>405160.24000000034</v>
      </c>
      <c r="L46" s="271">
        <f t="shared" si="7"/>
        <v>88668.458641181744</v>
      </c>
      <c r="M46" s="355" t="s">
        <v>453</v>
      </c>
      <c r="N46" s="45">
        <f t="shared" si="8"/>
        <v>55668.45864118178</v>
      </c>
    </row>
    <row r="47" spans="1:14" s="5" customFormat="1" ht="13.5" customHeight="1">
      <c r="A47" s="263">
        <v>45190</v>
      </c>
      <c r="B47" s="434" t="s">
        <v>900</v>
      </c>
      <c r="C47" s="355"/>
      <c r="D47" s="37">
        <v>15</v>
      </c>
      <c r="E47" s="355" t="s">
        <v>107</v>
      </c>
      <c r="F47" s="355"/>
      <c r="G47" s="271"/>
      <c r="H47" s="271"/>
      <c r="I47" s="278">
        <v>5066.49</v>
      </c>
      <c r="J47" s="431">
        <f>I47/'통장내역(환율표)'!$D$127</f>
        <v>696.12874407656818</v>
      </c>
      <c r="K47" s="271">
        <f t="shared" si="6"/>
        <v>400093.75000000035</v>
      </c>
      <c r="L47" s="271">
        <f t="shared" si="7"/>
        <v>87972.32989710517</v>
      </c>
      <c r="M47" s="355" t="s">
        <v>453</v>
      </c>
      <c r="N47" s="45">
        <f t="shared" si="8"/>
        <v>54972.329897105214</v>
      </c>
    </row>
    <row r="48" spans="1:14" s="5" customFormat="1" ht="13.5" customHeight="1">
      <c r="A48" s="263">
        <v>45190</v>
      </c>
      <c r="B48" s="433" t="s">
        <v>899</v>
      </c>
      <c r="C48" s="355"/>
      <c r="D48" s="37">
        <v>15</v>
      </c>
      <c r="E48" s="355" t="s">
        <v>107</v>
      </c>
      <c r="F48" s="355"/>
      <c r="G48" s="271"/>
      <c r="H48" s="271"/>
      <c r="I48" s="278">
        <v>300</v>
      </c>
      <c r="J48" s="431">
        <f>I48/'통장내역(환율표)'!$D$127</f>
        <v>41.219586582223677</v>
      </c>
      <c r="K48" s="271">
        <f t="shared" si="6"/>
        <v>399793.75000000035</v>
      </c>
      <c r="L48" s="271">
        <f t="shared" si="7"/>
        <v>87931.110310522941</v>
      </c>
      <c r="M48" s="355" t="s">
        <v>453</v>
      </c>
      <c r="N48" s="45">
        <f t="shared" si="8"/>
        <v>54931.110310522992</v>
      </c>
    </row>
    <row r="49" spans="1:14" s="5" customFormat="1" ht="13.5" customHeight="1">
      <c r="A49" s="263">
        <v>45190</v>
      </c>
      <c r="B49" s="433" t="s">
        <v>861</v>
      </c>
      <c r="C49" s="355"/>
      <c r="D49" s="37">
        <v>15</v>
      </c>
      <c r="E49" s="355" t="s">
        <v>107</v>
      </c>
      <c r="F49" s="355"/>
      <c r="G49" s="271"/>
      <c r="H49" s="271"/>
      <c r="I49" s="278">
        <v>500</v>
      </c>
      <c r="J49" s="431">
        <f>I49/'통장내역(환율표)'!$D$127</f>
        <v>68.699310970372792</v>
      </c>
      <c r="K49" s="271">
        <f t="shared" si="6"/>
        <v>399293.75000000035</v>
      </c>
      <c r="L49" s="271">
        <f t="shared" si="7"/>
        <v>87862.410999552565</v>
      </c>
      <c r="M49" s="355" t="s">
        <v>453</v>
      </c>
      <c r="N49" s="45">
        <f t="shared" si="8"/>
        <v>54862.410999552616</v>
      </c>
    </row>
    <row r="50" spans="1:14" s="5" customFormat="1" ht="13.5" customHeight="1">
      <c r="A50" s="263">
        <v>45190</v>
      </c>
      <c r="B50" s="433" t="s">
        <v>898</v>
      </c>
      <c r="C50" s="355"/>
      <c r="D50" s="37">
        <v>15</v>
      </c>
      <c r="E50" s="355" t="s">
        <v>107</v>
      </c>
      <c r="F50" s="355"/>
      <c r="G50" s="271"/>
      <c r="H50" s="271"/>
      <c r="I50" s="278">
        <v>11700</v>
      </c>
      <c r="J50" s="431">
        <f>I50/'통장내역(환율표)'!$D$127</f>
        <v>1607.5638767067235</v>
      </c>
      <c r="K50" s="271">
        <f t="shared" si="6"/>
        <v>387593.75000000035</v>
      </c>
      <c r="L50" s="271">
        <f t="shared" si="7"/>
        <v>86254.847122845837</v>
      </c>
      <c r="M50" s="428" t="s">
        <v>901</v>
      </c>
      <c r="N50" s="45">
        <f t="shared" si="8"/>
        <v>53254.847122845895</v>
      </c>
    </row>
    <row r="51" spans="1:14" s="5" customFormat="1" ht="13.5" customHeight="1">
      <c r="A51" s="263">
        <v>45190</v>
      </c>
      <c r="B51" s="433" t="s">
        <v>935</v>
      </c>
      <c r="C51" s="355"/>
      <c r="D51" s="37">
        <v>15</v>
      </c>
      <c r="E51" s="355" t="s">
        <v>107</v>
      </c>
      <c r="F51" s="355"/>
      <c r="G51" s="271"/>
      <c r="H51" s="271"/>
      <c r="I51" s="278">
        <v>3600</v>
      </c>
      <c r="J51" s="431">
        <f>I51/'통장내역(환율표)'!$D$127</f>
        <v>494.63503898668415</v>
      </c>
      <c r="K51" s="271">
        <f t="shared" si="6"/>
        <v>383993.75000000035</v>
      </c>
      <c r="L51" s="271">
        <f t="shared" si="7"/>
        <v>85760.212083859151</v>
      </c>
      <c r="M51" s="428" t="s">
        <v>901</v>
      </c>
      <c r="N51" s="45">
        <f t="shared" si="8"/>
        <v>52760.212083859209</v>
      </c>
    </row>
    <row r="52" spans="1:14" s="5" customFormat="1" ht="12.75" customHeight="1">
      <c r="A52" s="263">
        <v>45190</v>
      </c>
      <c r="B52" s="433" t="s">
        <v>900</v>
      </c>
      <c r="C52" s="355"/>
      <c r="D52" s="37">
        <v>15</v>
      </c>
      <c r="E52" s="355" t="s">
        <v>107</v>
      </c>
      <c r="F52" s="355"/>
      <c r="G52" s="271"/>
      <c r="H52" s="271"/>
      <c r="I52" s="278">
        <v>2699.61</v>
      </c>
      <c r="J52" s="431">
        <f>I52/'통장내역(환율표)'!$D$127</f>
        <v>370.92269377745623</v>
      </c>
      <c r="K52" s="271">
        <f t="shared" si="6"/>
        <v>381294.14000000036</v>
      </c>
      <c r="L52" s="271">
        <f t="shared" si="7"/>
        <v>85389.2893900817</v>
      </c>
      <c r="M52" s="428" t="s">
        <v>901</v>
      </c>
      <c r="N52" s="45">
        <f t="shared" si="8"/>
        <v>52389.289390081751</v>
      </c>
    </row>
    <row r="53" spans="1:14" s="5" customFormat="1" ht="13.5" customHeight="1">
      <c r="A53" s="263">
        <v>45190</v>
      </c>
      <c r="B53" s="433" t="s">
        <v>899</v>
      </c>
      <c r="C53" s="355"/>
      <c r="D53" s="37">
        <v>15</v>
      </c>
      <c r="E53" s="355" t="s">
        <v>107</v>
      </c>
      <c r="F53" s="355"/>
      <c r="G53" s="271"/>
      <c r="H53" s="271"/>
      <c r="I53" s="278">
        <v>300</v>
      </c>
      <c r="J53" s="431">
        <f>I53/'통장내역(환율표)'!$D$127</f>
        <v>41.219586582223677</v>
      </c>
      <c r="K53" s="271">
        <f t="shared" si="6"/>
        <v>380994.14000000036</v>
      </c>
      <c r="L53" s="271">
        <f t="shared" si="7"/>
        <v>85348.069803499471</v>
      </c>
      <c r="M53" s="428" t="s">
        <v>901</v>
      </c>
      <c r="N53" s="45">
        <f t="shared" si="8"/>
        <v>52348.069803499529</v>
      </c>
    </row>
    <row r="54" spans="1:14" s="5" customFormat="1" ht="13.5" customHeight="1">
      <c r="A54" s="263">
        <v>45190</v>
      </c>
      <c r="B54" s="433" t="s">
        <v>897</v>
      </c>
      <c r="C54" s="355"/>
      <c r="D54" s="37">
        <v>15</v>
      </c>
      <c r="E54" s="355" t="s">
        <v>107</v>
      </c>
      <c r="F54" s="355"/>
      <c r="G54" s="271"/>
      <c r="H54" s="271"/>
      <c r="I54" s="278">
        <v>11494.25</v>
      </c>
      <c r="J54" s="431">
        <f>I54/'통장내역(환율표)'!$D$127</f>
        <v>1579.2941102424152</v>
      </c>
      <c r="K54" s="271">
        <f t="shared" si="6"/>
        <v>369499.89000000036</v>
      </c>
      <c r="L54" s="271">
        <f t="shared" si="7"/>
        <v>83768.775693257063</v>
      </c>
      <c r="M54" s="355" t="s">
        <v>902</v>
      </c>
      <c r="N54" s="45">
        <f t="shared" si="8"/>
        <v>50768.775693257114</v>
      </c>
    </row>
    <row r="55" spans="1:14" s="5" customFormat="1" ht="13.5" customHeight="1">
      <c r="A55" s="263">
        <v>45190</v>
      </c>
      <c r="B55" s="433" t="s">
        <v>935</v>
      </c>
      <c r="C55" s="355"/>
      <c r="D55" s="37">
        <v>15</v>
      </c>
      <c r="E55" s="355" t="s">
        <v>107</v>
      </c>
      <c r="F55" s="355"/>
      <c r="G55" s="271"/>
      <c r="H55" s="271"/>
      <c r="I55" s="278">
        <v>4597.7</v>
      </c>
      <c r="J55" s="431">
        <f>I55/'통장내역(환율표)'!$D$127</f>
        <v>631.71764409696607</v>
      </c>
      <c r="K55" s="271">
        <f t="shared" si="6"/>
        <v>364902.19000000035</v>
      </c>
      <c r="L55" s="271">
        <f t="shared" si="7"/>
        <v>83137.058049160099</v>
      </c>
      <c r="M55" s="355" t="s">
        <v>902</v>
      </c>
      <c r="N55" s="45">
        <f t="shared" si="8"/>
        <v>50137.05804916015</v>
      </c>
    </row>
    <row r="56" spans="1:14" s="5" customFormat="1" ht="13.5" customHeight="1">
      <c r="A56" s="263">
        <v>45190</v>
      </c>
      <c r="B56" s="433" t="s">
        <v>899</v>
      </c>
      <c r="C56" s="355"/>
      <c r="D56" s="37">
        <v>15</v>
      </c>
      <c r="E56" s="355" t="s">
        <v>107</v>
      </c>
      <c r="F56" s="355"/>
      <c r="G56" s="271"/>
      <c r="H56" s="271"/>
      <c r="I56" s="278">
        <v>300</v>
      </c>
      <c r="J56" s="431">
        <f>I56/'통장내역(환율표)'!$D$127</f>
        <v>41.219586582223677</v>
      </c>
      <c r="K56" s="271">
        <f t="shared" si="6"/>
        <v>364602.19000000035</v>
      </c>
      <c r="L56" s="271">
        <f t="shared" si="7"/>
        <v>83095.838462577871</v>
      </c>
      <c r="M56" s="355"/>
      <c r="N56" s="45">
        <f t="shared" si="8"/>
        <v>50095.838462577929</v>
      </c>
    </row>
    <row r="57" spans="1:14" s="5" customFormat="1" ht="13.5" customHeight="1">
      <c r="A57" s="263">
        <v>45190</v>
      </c>
      <c r="B57" s="433" t="s">
        <v>250</v>
      </c>
      <c r="C57" s="355"/>
      <c r="D57" s="37">
        <v>16</v>
      </c>
      <c r="E57" s="355" t="s">
        <v>107</v>
      </c>
      <c r="F57" s="355"/>
      <c r="G57" s="271"/>
      <c r="H57" s="271"/>
      <c r="I57" s="278">
        <v>12</v>
      </c>
      <c r="J57" s="431">
        <f>I57/'통장내역(환율표)'!$D$127</f>
        <v>1.6487834632889471</v>
      </c>
      <c r="K57" s="271">
        <f t="shared" si="6"/>
        <v>364590.19000000035</v>
      </c>
      <c r="L57" s="271">
        <f t="shared" si="7"/>
        <v>83094.189679114585</v>
      </c>
      <c r="M57" s="355"/>
      <c r="N57" s="45">
        <f t="shared" si="8"/>
        <v>50094.189679114643</v>
      </c>
    </row>
    <row r="58" spans="1:14" s="5" customFormat="1" ht="13.5" customHeight="1">
      <c r="A58" s="263">
        <v>45190</v>
      </c>
      <c r="B58" s="433" t="s">
        <v>903</v>
      </c>
      <c r="C58" s="355"/>
      <c r="D58" s="37">
        <v>17</v>
      </c>
      <c r="E58" s="355" t="s">
        <v>107</v>
      </c>
      <c r="F58" s="355"/>
      <c r="G58" s="271"/>
      <c r="H58" s="271"/>
      <c r="I58" s="278">
        <v>183.8</v>
      </c>
      <c r="J58" s="431">
        <f>I58/'통장내역(환율표)'!$D$127</f>
        <v>25.253866712709044</v>
      </c>
      <c r="K58" s="271">
        <f t="shared" si="6"/>
        <v>364406.39000000036</v>
      </c>
      <c r="L58" s="271">
        <f t="shared" si="7"/>
        <v>83068.935812401876</v>
      </c>
      <c r="M58" s="355"/>
      <c r="N58" s="45">
        <f t="shared" si="8"/>
        <v>50068.935812401935</v>
      </c>
    </row>
    <row r="59" spans="1:14" s="5" customFormat="1" ht="13.5" customHeight="1">
      <c r="A59" s="263">
        <v>45190</v>
      </c>
      <c r="B59" s="433" t="s">
        <v>904</v>
      </c>
      <c r="C59" s="355"/>
      <c r="D59" s="37">
        <v>18</v>
      </c>
      <c r="E59" s="355" t="s">
        <v>146</v>
      </c>
      <c r="F59" s="355" t="s">
        <v>147</v>
      </c>
      <c r="G59" s="271"/>
      <c r="H59" s="271"/>
      <c r="I59" s="278">
        <v>620.79</v>
      </c>
      <c r="J59" s="431">
        <f>I59/'통장내역(환율표)'!$D$127</f>
        <v>85.295690514595449</v>
      </c>
      <c r="K59" s="271">
        <f t="shared" si="6"/>
        <v>363785.60000000038</v>
      </c>
      <c r="L59" s="271">
        <f t="shared" si="7"/>
        <v>82983.640121887278</v>
      </c>
      <c r="M59" s="355"/>
      <c r="N59" s="45">
        <f t="shared" si="8"/>
        <v>49983.640121887336</v>
      </c>
    </row>
    <row r="60" spans="1:14" s="5" customFormat="1" ht="13.5" customHeight="1">
      <c r="A60" s="263">
        <v>45190</v>
      </c>
      <c r="B60" s="433" t="s">
        <v>250</v>
      </c>
      <c r="C60" s="355"/>
      <c r="D60" s="37">
        <v>19</v>
      </c>
      <c r="E60" s="355" t="s">
        <v>107</v>
      </c>
      <c r="F60" s="355"/>
      <c r="G60" s="271"/>
      <c r="H60" s="271"/>
      <c r="I60" s="278">
        <v>3.6</v>
      </c>
      <c r="J60" s="431">
        <f>I60/'통장내역(환율표)'!$D$127</f>
        <v>0.49463503898668415</v>
      </c>
      <c r="K60" s="271">
        <f t="shared" si="6"/>
        <v>363782.00000000041</v>
      </c>
      <c r="L60" s="271">
        <f t="shared" si="7"/>
        <v>82983.145486848298</v>
      </c>
      <c r="M60" s="355"/>
      <c r="N60" s="45">
        <f t="shared" si="8"/>
        <v>49983.145486848349</v>
      </c>
    </row>
    <row r="61" spans="1:14" s="5" customFormat="1" ht="13.5" customHeight="1">
      <c r="A61" s="263">
        <v>45190</v>
      </c>
      <c r="B61" s="343" t="s">
        <v>715</v>
      </c>
      <c r="C61" s="355"/>
      <c r="D61" s="37">
        <v>20</v>
      </c>
      <c r="E61" s="355" t="s">
        <v>146</v>
      </c>
      <c r="F61" s="355" t="s">
        <v>147</v>
      </c>
      <c r="G61" s="271"/>
      <c r="H61" s="271"/>
      <c r="I61" s="278">
        <v>3538</v>
      </c>
      <c r="J61" s="431">
        <f>I61/'통장내역(환율표)'!$D$127</f>
        <v>486.11632442635795</v>
      </c>
      <c r="K61" s="271">
        <f t="shared" si="6"/>
        <v>360244.00000000041</v>
      </c>
      <c r="L61" s="271">
        <f t="shared" si="7"/>
        <v>82497.029162421939</v>
      </c>
      <c r="M61" s="355"/>
      <c r="N61" s="45">
        <f t="shared" si="8"/>
        <v>49497.02916242199</v>
      </c>
    </row>
    <row r="62" spans="1:14" s="5" customFormat="1" ht="13.5" customHeight="1">
      <c r="A62" s="263">
        <v>45190</v>
      </c>
      <c r="B62" s="343" t="s">
        <v>714</v>
      </c>
      <c r="C62" s="355"/>
      <c r="D62" s="37">
        <v>21</v>
      </c>
      <c r="E62" s="355" t="s">
        <v>146</v>
      </c>
      <c r="F62" s="355" t="s">
        <v>147</v>
      </c>
      <c r="G62" s="271"/>
      <c r="H62" s="271"/>
      <c r="I62" s="278">
        <v>1009</v>
      </c>
      <c r="J62" s="431">
        <f>I62/'통장내역(환율표)'!$D$127</f>
        <v>138.63520953821231</v>
      </c>
      <c r="K62" s="271">
        <f t="shared" si="6"/>
        <v>359235.00000000041</v>
      </c>
      <c r="L62" s="271">
        <f t="shared" si="7"/>
        <v>82358.393952883722</v>
      </c>
      <c r="M62" s="355"/>
      <c r="N62" s="45">
        <f t="shared" si="8"/>
        <v>49358.39395288378</v>
      </c>
    </row>
    <row r="63" spans="1:14" s="5" customFormat="1" ht="13.5" customHeight="1">
      <c r="A63" s="263">
        <v>45190</v>
      </c>
      <c r="B63" s="343" t="s">
        <v>716</v>
      </c>
      <c r="C63" s="355"/>
      <c r="D63" s="37">
        <v>22</v>
      </c>
      <c r="E63" s="355" t="s">
        <v>146</v>
      </c>
      <c r="F63" s="355" t="s">
        <v>147</v>
      </c>
      <c r="G63" s="271"/>
      <c r="H63" s="271"/>
      <c r="I63" s="278">
        <v>268</v>
      </c>
      <c r="J63" s="431">
        <f>I63/'통장내역(환율표)'!$D$127</f>
        <v>36.822830680119822</v>
      </c>
      <c r="K63" s="271">
        <f t="shared" si="6"/>
        <v>358967.00000000041</v>
      </c>
      <c r="L63" s="271">
        <f t="shared" si="7"/>
        <v>82321.571122203604</v>
      </c>
      <c r="M63" s="355"/>
      <c r="N63" s="45">
        <f t="shared" si="8"/>
        <v>49321.571122203663</v>
      </c>
    </row>
    <row r="64" spans="1:14" s="5" customFormat="1" ht="13.5" customHeight="1">
      <c r="A64" s="263">
        <v>45190</v>
      </c>
      <c r="B64" s="321" t="s">
        <v>250</v>
      </c>
      <c r="C64" s="355"/>
      <c r="D64" s="37">
        <v>23</v>
      </c>
      <c r="E64" s="355" t="s">
        <v>107</v>
      </c>
      <c r="F64" s="355"/>
      <c r="G64" s="271"/>
      <c r="H64" s="271"/>
      <c r="I64" s="278">
        <v>3.6</v>
      </c>
      <c r="J64" s="431">
        <f>I64/'통장내역(환율표)'!$D$127</f>
        <v>0.49463503898668415</v>
      </c>
      <c r="K64" s="271">
        <f t="shared" si="6"/>
        <v>358963.40000000043</v>
      </c>
      <c r="L64" s="271">
        <f t="shared" si="7"/>
        <v>82321.076487164624</v>
      </c>
      <c r="M64" s="355"/>
      <c r="N64" s="45">
        <f t="shared" si="8"/>
        <v>49321.076487164675</v>
      </c>
    </row>
    <row r="65" spans="1:14" s="5" customFormat="1" ht="13.5" customHeight="1">
      <c r="A65" s="263">
        <v>45190</v>
      </c>
      <c r="B65" s="373" t="s">
        <v>905</v>
      </c>
      <c r="C65" s="355"/>
      <c r="D65" s="37">
        <v>24</v>
      </c>
      <c r="E65" s="355" t="s">
        <v>146</v>
      </c>
      <c r="F65" s="355" t="s">
        <v>147</v>
      </c>
      <c r="G65" s="271"/>
      <c r="H65" s="271"/>
      <c r="I65" s="278">
        <v>1171</v>
      </c>
      <c r="J65" s="431">
        <f>I65/'통장내역(환율표)'!$D$127</f>
        <v>160.8937862926131</v>
      </c>
      <c r="K65" s="271">
        <f t="shared" si="6"/>
        <v>357792.40000000043</v>
      </c>
      <c r="L65" s="271">
        <f t="shared" si="7"/>
        <v>82160.182700872014</v>
      </c>
      <c r="M65" s="355"/>
      <c r="N65" s="45">
        <f t="shared" si="8"/>
        <v>49160.182700872065</v>
      </c>
    </row>
    <row r="66" spans="1:14" s="5" customFormat="1" ht="13.5" customHeight="1">
      <c r="A66" s="263">
        <v>45190</v>
      </c>
      <c r="B66" s="373" t="s">
        <v>906</v>
      </c>
      <c r="C66" s="355"/>
      <c r="D66" s="37">
        <v>25</v>
      </c>
      <c r="E66" s="355" t="s">
        <v>146</v>
      </c>
      <c r="F66" s="355" t="s">
        <v>147</v>
      </c>
      <c r="G66" s="271"/>
      <c r="H66" s="271"/>
      <c r="I66" s="278">
        <v>4754</v>
      </c>
      <c r="J66" s="431">
        <f>I66/'통장내역(환율표)'!$D$127</f>
        <v>653.19304870630458</v>
      </c>
      <c r="K66" s="271">
        <f t="shared" si="6"/>
        <v>353038.40000000043</v>
      </c>
      <c r="L66" s="271">
        <f t="shared" si="7"/>
        <v>81506.989652165707</v>
      </c>
      <c r="M66" s="355"/>
      <c r="N66" s="45">
        <f t="shared" si="8"/>
        <v>48506.989652165757</v>
      </c>
    </row>
    <row r="67" spans="1:14" s="5" customFormat="1" ht="13.5" customHeight="1">
      <c r="A67" s="263">
        <v>45190</v>
      </c>
      <c r="B67" s="373" t="s">
        <v>853</v>
      </c>
      <c r="C67" s="355"/>
      <c r="D67" s="37">
        <v>26</v>
      </c>
      <c r="E67" s="355" t="s">
        <v>146</v>
      </c>
      <c r="F67" s="355" t="s">
        <v>147</v>
      </c>
      <c r="G67" s="271"/>
      <c r="H67" s="271"/>
      <c r="I67" s="278">
        <v>3414.35</v>
      </c>
      <c r="J67" s="431">
        <f>I67/'통장내역(환율표)'!$D$127</f>
        <v>469.1269848233847</v>
      </c>
      <c r="K67" s="271">
        <f t="shared" si="6"/>
        <v>349624.05000000045</v>
      </c>
      <c r="L67" s="271">
        <f t="shared" si="7"/>
        <v>81037.862667342328</v>
      </c>
      <c r="M67" s="355"/>
      <c r="N67" s="45">
        <f t="shared" si="8"/>
        <v>48037.862667342371</v>
      </c>
    </row>
    <row r="68" spans="1:14" s="5" customFormat="1" ht="13.5" customHeight="1">
      <c r="A68" s="263">
        <v>45190</v>
      </c>
      <c r="B68" s="373" t="s">
        <v>852</v>
      </c>
      <c r="C68" s="355"/>
      <c r="D68" s="37">
        <v>27</v>
      </c>
      <c r="E68" s="355" t="s">
        <v>107</v>
      </c>
      <c r="F68" s="355"/>
      <c r="G68" s="271"/>
      <c r="H68" s="271"/>
      <c r="I68" s="278">
        <v>224.1</v>
      </c>
      <c r="J68" s="431">
        <f>I68/'통장내역(환율표)'!$D$127</f>
        <v>30.791031176921088</v>
      </c>
      <c r="K68" s="271">
        <f t="shared" si="6"/>
        <v>349399.95000000048</v>
      </c>
      <c r="L68" s="271">
        <f t="shared" si="7"/>
        <v>81007.071636165405</v>
      </c>
      <c r="M68" s="355"/>
      <c r="N68" s="45">
        <f t="shared" si="8"/>
        <v>48007.071636165449</v>
      </c>
    </row>
    <row r="69" spans="1:14" s="5" customFormat="1" ht="13.5" customHeight="1">
      <c r="A69" s="263">
        <v>45190</v>
      </c>
      <c r="B69" s="373" t="s">
        <v>851</v>
      </c>
      <c r="C69" s="355"/>
      <c r="D69" s="37">
        <v>28</v>
      </c>
      <c r="E69" s="355" t="s">
        <v>116</v>
      </c>
      <c r="F69" s="355" t="s">
        <v>140</v>
      </c>
      <c r="G69" s="271"/>
      <c r="H69" s="271"/>
      <c r="I69" s="278">
        <v>98.5</v>
      </c>
      <c r="J69" s="431">
        <f>I69/'통장내역(환율표)'!$D$127</f>
        <v>13.533764261163441</v>
      </c>
      <c r="K69" s="271">
        <f t="shared" si="6"/>
        <v>349301.45000000048</v>
      </c>
      <c r="L69" s="271">
        <f t="shared" si="7"/>
        <v>80993.537871904235</v>
      </c>
      <c r="M69" s="355"/>
      <c r="N69" s="45">
        <f t="shared" si="8"/>
        <v>47993.537871904286</v>
      </c>
    </row>
    <row r="70" spans="1:14" s="5" customFormat="1" ht="13.5" customHeight="1">
      <c r="A70" s="263">
        <v>45190</v>
      </c>
      <c r="B70" s="321" t="s">
        <v>250</v>
      </c>
      <c r="C70" s="355"/>
      <c r="D70" s="37">
        <v>29</v>
      </c>
      <c r="E70" s="355" t="s">
        <v>107</v>
      </c>
      <c r="F70" s="355"/>
      <c r="G70" s="271"/>
      <c r="H70" s="271"/>
      <c r="I70" s="278">
        <v>3.6</v>
      </c>
      <c r="J70" s="431">
        <f>I70/'통장내역(환율표)'!$D$127</f>
        <v>0.49463503898668415</v>
      </c>
      <c r="K70" s="271">
        <f t="shared" si="6"/>
        <v>349297.8500000005</v>
      </c>
      <c r="L70" s="271">
        <f t="shared" si="7"/>
        <v>80993.043236865255</v>
      </c>
      <c r="M70" s="355"/>
      <c r="N70" s="45">
        <f t="shared" si="8"/>
        <v>47993.043236865298</v>
      </c>
    </row>
    <row r="71" spans="1:14" s="5" customFormat="1" ht="13.5" customHeight="1">
      <c r="A71" s="263">
        <v>45190</v>
      </c>
      <c r="B71" s="373" t="s">
        <v>886</v>
      </c>
      <c r="C71" s="355"/>
      <c r="D71" s="37">
        <v>30</v>
      </c>
      <c r="E71" s="355" t="s">
        <v>125</v>
      </c>
      <c r="F71" s="355" t="s">
        <v>145</v>
      </c>
      <c r="G71" s="271"/>
      <c r="H71" s="271"/>
      <c r="I71" s="278">
        <v>4320.2700000000004</v>
      </c>
      <c r="J71" s="431">
        <f>I71/'통장내역(환율표)'!$D$127</f>
        <v>593.59914441194508</v>
      </c>
      <c r="K71" s="271">
        <f t="shared" si="6"/>
        <v>344977.58000000048</v>
      </c>
      <c r="L71" s="271">
        <f t="shared" si="7"/>
        <v>80399.444092453312</v>
      </c>
      <c r="M71" s="355"/>
      <c r="N71" s="45">
        <f t="shared" si="8"/>
        <v>47399.444092453356</v>
      </c>
    </row>
    <row r="72" spans="1:14" s="5" customFormat="1" ht="13.5" customHeight="1">
      <c r="A72" s="263">
        <v>45190</v>
      </c>
      <c r="B72" s="321" t="s">
        <v>250</v>
      </c>
      <c r="C72" s="355"/>
      <c r="D72" s="37">
        <v>31</v>
      </c>
      <c r="E72" s="355" t="s">
        <v>107</v>
      </c>
      <c r="F72" s="355"/>
      <c r="G72" s="271"/>
      <c r="H72" s="271"/>
      <c r="I72" s="278">
        <v>3.6</v>
      </c>
      <c r="J72" s="431">
        <f>I72/'통장내역(환율표)'!$D$127</f>
        <v>0.49463503898668415</v>
      </c>
      <c r="K72" s="271">
        <f t="shared" si="6"/>
        <v>344973.98000000051</v>
      </c>
      <c r="L72" s="271">
        <f t="shared" si="7"/>
        <v>80398.949457414332</v>
      </c>
      <c r="M72" s="355"/>
      <c r="N72" s="45">
        <f t="shared" si="8"/>
        <v>47398.949457414368</v>
      </c>
    </row>
    <row r="73" spans="1:14" s="5" customFormat="1" ht="13.5" customHeight="1">
      <c r="A73" s="263">
        <v>45190</v>
      </c>
      <c r="B73" s="373" t="s">
        <v>887</v>
      </c>
      <c r="C73" s="355"/>
      <c r="D73" s="37">
        <v>32</v>
      </c>
      <c r="E73" s="355" t="s">
        <v>146</v>
      </c>
      <c r="F73" s="355" t="s">
        <v>147</v>
      </c>
      <c r="G73" s="271"/>
      <c r="H73" s="271"/>
      <c r="I73" s="278">
        <v>248.17</v>
      </c>
      <c r="J73" s="431">
        <f>I73/'통장내역(환율표)'!$D$127</f>
        <v>34.098216007034836</v>
      </c>
      <c r="K73" s="271">
        <f t="shared" si="6"/>
        <v>344725.81000000052</v>
      </c>
      <c r="L73" s="271">
        <f t="shared" si="7"/>
        <v>80364.85124140729</v>
      </c>
      <c r="M73" s="355"/>
      <c r="N73" s="45">
        <f t="shared" si="8"/>
        <v>47364.851241407334</v>
      </c>
    </row>
    <row r="74" spans="1:14" s="5" customFormat="1" ht="13.5" customHeight="1">
      <c r="A74" s="263">
        <v>45190</v>
      </c>
      <c r="B74" s="321" t="s">
        <v>250</v>
      </c>
      <c r="C74" s="355"/>
      <c r="D74" s="37">
        <v>33</v>
      </c>
      <c r="E74" s="355" t="s">
        <v>107</v>
      </c>
      <c r="F74" s="355"/>
      <c r="G74" s="271"/>
      <c r="H74" s="271"/>
      <c r="I74" s="278">
        <v>3.6</v>
      </c>
      <c r="J74" s="431">
        <f>I74/'통장내역(환율표)'!$D$127</f>
        <v>0.49463503898668415</v>
      </c>
      <c r="K74" s="271">
        <f t="shared" si="6"/>
        <v>344722.21000000054</v>
      </c>
      <c r="L74" s="271">
        <f t="shared" si="7"/>
        <v>80364.35660636831</v>
      </c>
      <c r="M74" s="355"/>
      <c r="N74" s="45">
        <f t="shared" si="8"/>
        <v>47364.356606368347</v>
      </c>
    </row>
    <row r="75" spans="1:14" s="5" customFormat="1" ht="13.5" customHeight="1">
      <c r="A75" s="263">
        <v>45190</v>
      </c>
      <c r="B75" s="373" t="s">
        <v>888</v>
      </c>
      <c r="C75" s="355"/>
      <c r="D75" s="37">
        <v>34</v>
      </c>
      <c r="E75" s="355" t="s">
        <v>116</v>
      </c>
      <c r="F75" s="355" t="s">
        <v>140</v>
      </c>
      <c r="G75" s="271"/>
      <c r="H75" s="271"/>
      <c r="I75" s="278">
        <v>597</v>
      </c>
      <c r="J75" s="431">
        <f>I75/'통장내역(환율표)'!$D$127</f>
        <v>82.026977298625127</v>
      </c>
      <c r="K75" s="271">
        <f t="shared" si="6"/>
        <v>344125.21000000054</v>
      </c>
      <c r="L75" s="271">
        <f t="shared" si="7"/>
        <v>80282.329629069689</v>
      </c>
      <c r="M75" s="355"/>
      <c r="N75" s="45">
        <f t="shared" si="8"/>
        <v>47282.329629069718</v>
      </c>
    </row>
    <row r="76" spans="1:14" s="5" customFormat="1" ht="13.5" customHeight="1">
      <c r="A76" s="263">
        <v>45190</v>
      </c>
      <c r="B76" s="321" t="s">
        <v>250</v>
      </c>
      <c r="C76" s="355"/>
      <c r="D76" s="37">
        <v>35</v>
      </c>
      <c r="E76" s="355" t="s">
        <v>107</v>
      </c>
      <c r="F76" s="355"/>
      <c r="G76" s="271"/>
      <c r="H76" s="271"/>
      <c r="I76" s="278">
        <v>3.6</v>
      </c>
      <c r="J76" s="431">
        <f>I76/'통장내역(환율표)'!$D$127</f>
        <v>0.49463503898668415</v>
      </c>
      <c r="K76" s="271">
        <f t="shared" si="6"/>
        <v>344121.61000000057</v>
      </c>
      <c r="L76" s="271">
        <f t="shared" si="7"/>
        <v>80281.834994030709</v>
      </c>
      <c r="M76" s="355"/>
      <c r="N76" s="45">
        <f t="shared" si="8"/>
        <v>47281.834994030731</v>
      </c>
    </row>
    <row r="77" spans="1:14" s="5" customFormat="1" ht="13.5" customHeight="1">
      <c r="A77" s="263">
        <v>45190</v>
      </c>
      <c r="B77" s="373" t="s">
        <v>889</v>
      </c>
      <c r="C77" s="355"/>
      <c r="D77" s="37">
        <v>36</v>
      </c>
      <c r="E77" s="355" t="s">
        <v>146</v>
      </c>
      <c r="F77" s="355" t="s">
        <v>147</v>
      </c>
      <c r="G77" s="271"/>
      <c r="H77" s="271"/>
      <c r="I77" s="278">
        <v>6653</v>
      </c>
      <c r="J77" s="431">
        <f>I77/'통장내역(환율표)'!$D$127</f>
        <v>914.11303177178047</v>
      </c>
      <c r="K77" s="271">
        <f t="shared" si="6"/>
        <v>337468.61000000057</v>
      </c>
      <c r="L77" s="271">
        <f t="shared" si="7"/>
        <v>79367.721962258933</v>
      </c>
      <c r="M77" s="355"/>
      <c r="N77" s="45">
        <f t="shared" si="8"/>
        <v>46367.721962258947</v>
      </c>
    </row>
    <row r="78" spans="1:14" s="5" customFormat="1" ht="13.5" customHeight="1">
      <c r="A78" s="263">
        <v>45190</v>
      </c>
      <c r="B78" s="321" t="s">
        <v>250</v>
      </c>
      <c r="C78" s="355"/>
      <c r="D78" s="37">
        <v>37</v>
      </c>
      <c r="E78" s="355" t="s">
        <v>107</v>
      </c>
      <c r="F78" s="355"/>
      <c r="G78" s="271"/>
      <c r="H78" s="271"/>
      <c r="I78" s="278">
        <v>3.6</v>
      </c>
      <c r="J78" s="431">
        <f>I78/'통장내역(환율표)'!$D$127</f>
        <v>0.49463503898668415</v>
      </c>
      <c r="K78" s="271">
        <f t="shared" si="6"/>
        <v>337465.01000000059</v>
      </c>
      <c r="L78" s="271">
        <f t="shared" si="7"/>
        <v>79367.227327219953</v>
      </c>
      <c r="M78" s="355"/>
      <c r="N78" s="45">
        <f t="shared" si="8"/>
        <v>46367.22732721996</v>
      </c>
    </row>
    <row r="79" spans="1:14" s="5" customFormat="1" ht="13.5" customHeight="1">
      <c r="A79" s="263">
        <v>45190</v>
      </c>
      <c r="B79" s="373" t="s">
        <v>855</v>
      </c>
      <c r="C79" s="355"/>
      <c r="D79" s="37">
        <v>38</v>
      </c>
      <c r="E79" s="355" t="s">
        <v>116</v>
      </c>
      <c r="F79" s="355" t="s">
        <v>140</v>
      </c>
      <c r="G79" s="271"/>
      <c r="H79" s="271"/>
      <c r="I79" s="278">
        <v>396.5</v>
      </c>
      <c r="J79" s="431">
        <f>I79/'통장내역(환율표)'!$D$127</f>
        <v>54.478553599505631</v>
      </c>
      <c r="K79" s="271">
        <f t="shared" si="6"/>
        <v>337068.51000000059</v>
      </c>
      <c r="L79" s="271">
        <f t="shared" si="7"/>
        <v>79312.748773620449</v>
      </c>
      <c r="M79" s="355"/>
      <c r="N79" s="45">
        <f t="shared" si="8"/>
        <v>46312.748773620457</v>
      </c>
    </row>
    <row r="80" spans="1:14" s="5" customFormat="1" ht="13.5" customHeight="1">
      <c r="A80" s="263">
        <v>45190</v>
      </c>
      <c r="B80" s="373" t="s">
        <v>854</v>
      </c>
      <c r="C80" s="355"/>
      <c r="D80" s="37">
        <v>39</v>
      </c>
      <c r="E80" s="355" t="s">
        <v>116</v>
      </c>
      <c r="F80" s="355" t="s">
        <v>140</v>
      </c>
      <c r="G80" s="271"/>
      <c r="H80" s="271"/>
      <c r="I80" s="278">
        <v>499</v>
      </c>
      <c r="J80" s="431">
        <f>I80/'통장내역(환율표)'!$D$127</f>
        <v>68.56191234843206</v>
      </c>
      <c r="K80" s="271">
        <f t="shared" si="6"/>
        <v>336569.51000000059</v>
      </c>
      <c r="L80" s="271">
        <f t="shared" si="7"/>
        <v>79244.186861272014</v>
      </c>
      <c r="M80" s="355"/>
      <c r="N80" s="45">
        <f t="shared" si="8"/>
        <v>46244.186861272028</v>
      </c>
    </row>
    <row r="81" spans="1:15" s="5" customFormat="1" ht="13.5" customHeight="1">
      <c r="A81" s="263">
        <v>45190</v>
      </c>
      <c r="B81" s="321" t="s">
        <v>250</v>
      </c>
      <c r="C81" s="355"/>
      <c r="D81" s="37">
        <v>40</v>
      </c>
      <c r="E81" s="355" t="s">
        <v>107</v>
      </c>
      <c r="F81" s="355"/>
      <c r="G81" s="271"/>
      <c r="H81" s="271"/>
      <c r="I81" s="278">
        <v>3.6</v>
      </c>
      <c r="J81" s="431">
        <f>I81/'통장내역(환율표)'!$D$127</f>
        <v>0.49463503898668415</v>
      </c>
      <c r="K81" s="271">
        <f t="shared" si="6"/>
        <v>336565.91000000061</v>
      </c>
      <c r="L81" s="271">
        <f t="shared" si="7"/>
        <v>79243.692226233034</v>
      </c>
      <c r="M81" s="355"/>
      <c r="N81" s="45">
        <f t="shared" si="8"/>
        <v>46243.692226233041</v>
      </c>
    </row>
    <row r="82" spans="1:15" s="5" customFormat="1" ht="13.5" customHeight="1">
      <c r="A82" s="263">
        <v>45190</v>
      </c>
      <c r="B82" s="373" t="s">
        <v>890</v>
      </c>
      <c r="C82" s="355"/>
      <c r="D82" s="37">
        <v>41</v>
      </c>
      <c r="E82" s="355" t="s">
        <v>146</v>
      </c>
      <c r="F82" s="355" t="s">
        <v>147</v>
      </c>
      <c r="G82" s="271"/>
      <c r="H82" s="271"/>
      <c r="I82" s="278" t="e">
        <f t="array" ref="I82">[2]!'!내역_23년9월!개체 1!교통비 정산!R69C14'</f>
        <v>#REF!</v>
      </c>
      <c r="J82" s="431" t="e">
        <f>I82/'통장내역(환율표)'!$D$127</f>
        <v>#REF!</v>
      </c>
      <c r="K82" s="271" t="e">
        <f t="shared" si="6"/>
        <v>#REF!</v>
      </c>
      <c r="L82" s="271" t="e">
        <f t="shared" si="7"/>
        <v>#REF!</v>
      </c>
      <c r="M82" s="355"/>
      <c r="N82" s="45" t="e">
        <f t="shared" si="8"/>
        <v>#REF!</v>
      </c>
    </row>
    <row r="83" spans="1:15" s="5" customFormat="1" ht="13.5" customHeight="1">
      <c r="A83" s="263">
        <v>45190</v>
      </c>
      <c r="B83" s="321" t="s">
        <v>250</v>
      </c>
      <c r="C83" s="355"/>
      <c r="D83" s="37">
        <v>42</v>
      </c>
      <c r="E83" s="355" t="s">
        <v>107</v>
      </c>
      <c r="F83" s="355"/>
      <c r="G83" s="271"/>
      <c r="H83" s="271"/>
      <c r="I83" s="278">
        <v>3.6</v>
      </c>
      <c r="J83" s="431">
        <f>I83/'통장내역(환율표)'!$D$127</f>
        <v>0.49463503898668415</v>
      </c>
      <c r="K83" s="271" t="e">
        <f t="shared" si="6"/>
        <v>#REF!</v>
      </c>
      <c r="L83" s="271" t="e">
        <f t="shared" si="7"/>
        <v>#REF!</v>
      </c>
      <c r="M83" s="355"/>
      <c r="N83" s="45" t="e">
        <f t="shared" si="8"/>
        <v>#REF!</v>
      </c>
    </row>
    <row r="84" spans="1:15" s="5" customFormat="1" ht="13.5" customHeight="1">
      <c r="A84" s="263">
        <v>45190</v>
      </c>
      <c r="B84" s="373" t="s">
        <v>891</v>
      </c>
      <c r="C84" s="355"/>
      <c r="D84" s="37">
        <v>43</v>
      </c>
      <c r="E84" s="355" t="s">
        <v>125</v>
      </c>
      <c r="F84" s="355" t="s">
        <v>145</v>
      </c>
      <c r="G84" s="271"/>
      <c r="H84" s="271"/>
      <c r="I84" s="278">
        <v>9851.5</v>
      </c>
      <c r="J84" s="431">
        <f>I84/'통장내역(환율표)'!$D$127</f>
        <v>1353.5825240492552</v>
      </c>
      <c r="K84" s="271" t="e">
        <f t="shared" si="6"/>
        <v>#REF!</v>
      </c>
      <c r="L84" s="271" t="e">
        <f t="shared" si="7"/>
        <v>#REF!</v>
      </c>
      <c r="M84" s="355"/>
      <c r="N84" s="45" t="e">
        <f t="shared" si="8"/>
        <v>#REF!</v>
      </c>
    </row>
    <row r="85" spans="1:15" s="5" customFormat="1" ht="13.5" customHeight="1">
      <c r="A85" s="263">
        <v>45190</v>
      </c>
      <c r="B85" s="373" t="s">
        <v>250</v>
      </c>
      <c r="C85" s="355"/>
      <c r="D85" s="37">
        <v>44</v>
      </c>
      <c r="E85" s="355" t="s">
        <v>107</v>
      </c>
      <c r="F85" s="355"/>
      <c r="G85" s="271"/>
      <c r="H85" s="271"/>
      <c r="I85" s="278">
        <v>3.6</v>
      </c>
      <c r="J85" s="431">
        <f>I85/'통장내역(환율표)'!$D$127</f>
        <v>0.49463503898668415</v>
      </c>
      <c r="K85" s="271" t="e">
        <f t="shared" si="6"/>
        <v>#REF!</v>
      </c>
      <c r="L85" s="271" t="e">
        <f t="shared" si="7"/>
        <v>#REF!</v>
      </c>
      <c r="M85" s="355"/>
      <c r="N85" s="45" t="e">
        <f t="shared" si="8"/>
        <v>#REF!</v>
      </c>
    </row>
    <row r="86" spans="1:15" s="5" customFormat="1" ht="13.5" customHeight="1">
      <c r="A86" s="263">
        <v>45190</v>
      </c>
      <c r="B86" s="373" t="s">
        <v>858</v>
      </c>
      <c r="C86" s="355"/>
      <c r="D86" s="37">
        <v>45</v>
      </c>
      <c r="E86" s="355" t="s">
        <v>107</v>
      </c>
      <c r="F86" s="355"/>
      <c r="G86" s="271"/>
      <c r="H86" s="271"/>
      <c r="I86" s="278">
        <v>300</v>
      </c>
      <c r="J86" s="431">
        <f>I86/'통장내역(환율표)'!$D$127</f>
        <v>41.219586582223677</v>
      </c>
      <c r="K86" s="271" t="e">
        <f t="shared" si="6"/>
        <v>#REF!</v>
      </c>
      <c r="L86" s="271" t="e">
        <f t="shared" si="7"/>
        <v>#REF!</v>
      </c>
      <c r="M86" s="355"/>
      <c r="N86" s="45" t="e">
        <f t="shared" si="8"/>
        <v>#REF!</v>
      </c>
    </row>
    <row r="87" spans="1:15" s="5" customFormat="1" ht="13.5" customHeight="1">
      <c r="A87" s="263">
        <v>45190</v>
      </c>
      <c r="B87" s="373" t="s">
        <v>857</v>
      </c>
      <c r="C87" s="355"/>
      <c r="D87" s="37">
        <v>46</v>
      </c>
      <c r="E87" s="355" t="s">
        <v>107</v>
      </c>
      <c r="F87" s="355"/>
      <c r="G87" s="271"/>
      <c r="H87" s="271"/>
      <c r="I87" s="278">
        <v>653.6</v>
      </c>
      <c r="J87" s="431">
        <f>I87/'통장내역(환율표)'!$D$127</f>
        <v>89.803739300471321</v>
      </c>
      <c r="K87" s="271" t="e">
        <f t="shared" si="6"/>
        <v>#REF!</v>
      </c>
      <c r="L87" s="271" t="e">
        <f t="shared" si="7"/>
        <v>#REF!</v>
      </c>
      <c r="M87" s="355"/>
      <c r="N87" s="45" t="e">
        <f t="shared" si="8"/>
        <v>#REF!</v>
      </c>
    </row>
    <row r="88" spans="1:15" s="5" customFormat="1" ht="13.5" customHeight="1">
      <c r="A88" s="263">
        <v>45190</v>
      </c>
      <c r="B88" s="373" t="s">
        <v>907</v>
      </c>
      <c r="C88" s="355"/>
      <c r="D88" s="37">
        <v>47</v>
      </c>
      <c r="E88" s="355" t="s">
        <v>107</v>
      </c>
      <c r="F88" s="355"/>
      <c r="G88" s="271"/>
      <c r="H88" s="271"/>
      <c r="I88" s="278">
        <v>358</v>
      </c>
      <c r="J88" s="431">
        <f>I88/'통장내역(환율표)'!$D$127</f>
        <v>49.188706654786927</v>
      </c>
      <c r="K88" s="271" t="e">
        <f t="shared" si="6"/>
        <v>#REF!</v>
      </c>
      <c r="L88" s="271" t="e">
        <f t="shared" si="7"/>
        <v>#REF!</v>
      </c>
      <c r="M88" s="355"/>
      <c r="N88" s="45" t="e">
        <f t="shared" si="8"/>
        <v>#REF!</v>
      </c>
    </row>
    <row r="89" spans="1:15" s="5" customFormat="1" ht="13.5" customHeight="1">
      <c r="A89" s="263">
        <v>45190</v>
      </c>
      <c r="B89" s="373" t="s">
        <v>908</v>
      </c>
      <c r="C89" s="355"/>
      <c r="D89" s="37">
        <v>48</v>
      </c>
      <c r="E89" s="355" t="s">
        <v>107</v>
      </c>
      <c r="F89" s="355"/>
      <c r="G89" s="271"/>
      <c r="H89" s="271"/>
      <c r="I89" s="278">
        <v>209</v>
      </c>
      <c r="J89" s="431">
        <f>I89/'통장내역(환율표)'!$D$127</f>
        <v>28.716311985615832</v>
      </c>
      <c r="K89" s="271" t="e">
        <f t="shared" si="6"/>
        <v>#REF!</v>
      </c>
      <c r="L89" s="271" t="e">
        <f t="shared" si="7"/>
        <v>#REF!</v>
      </c>
      <c r="M89" s="355"/>
      <c r="N89" s="45" t="e">
        <f t="shared" si="8"/>
        <v>#REF!</v>
      </c>
    </row>
    <row r="90" spans="1:15" s="5" customFormat="1" ht="13.5" customHeight="1">
      <c r="A90" s="263">
        <v>45190</v>
      </c>
      <c r="B90" s="373" t="s">
        <v>909</v>
      </c>
      <c r="C90" s="355"/>
      <c r="D90" s="37">
        <v>49</v>
      </c>
      <c r="E90" s="355" t="s">
        <v>107</v>
      </c>
      <c r="F90" s="355"/>
      <c r="G90" s="271"/>
      <c r="H90" s="271"/>
      <c r="I90" s="278">
        <v>503</v>
      </c>
      <c r="J90" s="431">
        <f>I90/'통장내역(환율표)'!$D$127</f>
        <v>69.111506836195034</v>
      </c>
      <c r="K90" s="271" t="e">
        <f t="shared" si="6"/>
        <v>#REF!</v>
      </c>
      <c r="L90" s="271" t="e">
        <f t="shared" si="7"/>
        <v>#REF!</v>
      </c>
      <c r="M90" s="355"/>
      <c r="N90" s="45" t="e">
        <f t="shared" si="8"/>
        <v>#REF!</v>
      </c>
    </row>
    <row r="91" spans="1:15" s="5" customFormat="1" ht="13.5" customHeight="1">
      <c r="A91" s="263">
        <v>45190</v>
      </c>
      <c r="B91" s="373" t="s">
        <v>910</v>
      </c>
      <c r="C91" s="355"/>
      <c r="D91" s="37">
        <v>50</v>
      </c>
      <c r="E91" s="355" t="s">
        <v>107</v>
      </c>
      <c r="F91" s="355"/>
      <c r="G91" s="271"/>
      <c r="H91" s="271"/>
      <c r="I91" s="278">
        <v>340</v>
      </c>
      <c r="J91" s="431">
        <f>I91/'통장내역(환율표)'!$D$127</f>
        <v>46.715531459853501</v>
      </c>
      <c r="K91" s="271" t="e">
        <f t="shared" si="6"/>
        <v>#REF!</v>
      </c>
      <c r="L91" s="271" t="e">
        <f t="shared" si="7"/>
        <v>#REF!</v>
      </c>
      <c r="M91" s="355"/>
      <c r="N91" s="45" t="e">
        <f t="shared" si="8"/>
        <v>#REF!</v>
      </c>
    </row>
    <row r="92" spans="1:15" s="5" customFormat="1" ht="13.5" customHeight="1">
      <c r="A92" s="263">
        <v>45190</v>
      </c>
      <c r="B92" s="373" t="s">
        <v>250</v>
      </c>
      <c r="C92" s="355"/>
      <c r="D92" s="37">
        <v>51</v>
      </c>
      <c r="E92" s="355" t="s">
        <v>107</v>
      </c>
      <c r="F92" s="355"/>
      <c r="G92" s="271"/>
      <c r="H92" s="271"/>
      <c r="I92" s="278">
        <v>3.6</v>
      </c>
      <c r="J92" s="431">
        <f>I92/'통장내역(환율표)'!$D$127</f>
        <v>0.49463503898668415</v>
      </c>
      <c r="K92" s="271" t="e">
        <f t="shared" si="6"/>
        <v>#REF!</v>
      </c>
      <c r="L92" s="271" t="e">
        <f t="shared" si="7"/>
        <v>#REF!</v>
      </c>
      <c r="M92" s="355"/>
      <c r="N92" s="45" t="e">
        <f t="shared" si="8"/>
        <v>#REF!</v>
      </c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2.7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2.7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2.7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2.7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32" spans="2:5">
      <c r="B132" s="322"/>
      <c r="C132" s="322"/>
      <c r="D132" s="322"/>
      <c r="E132" s="322"/>
    </row>
    <row r="133" spans="2:5">
      <c r="B133" s="322"/>
    </row>
  </sheetData>
  <autoFilter ref="A18:N131" xr:uid="{00000000-0009-0000-0000-000011000000}">
    <filterColumn colId="1" showButton="0"/>
  </autoFilter>
  <mergeCells count="11"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I17:J17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F153-6D4A-405F-B5D4-659FB742289F}">
  <sheetPr>
    <tabColor rgb="FFF8DA90"/>
    <pageSetUpPr fitToPage="1"/>
  </sheetPr>
  <dimension ref="A1:R140"/>
  <sheetViews>
    <sheetView showGridLines="0" zoomScaleNormal="100" workbookViewId="0">
      <pane ySplit="18" topLeftCell="A37" activePane="bottomLeft" state="frozen"/>
      <selection activeCell="D51" sqref="D51"/>
      <selection pane="bottomLeft" activeCell="D51" sqref="D51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27.25" customWidth="1"/>
    <col min="14" max="14" width="15.125" customWidth="1"/>
    <col min="15" max="15" width="11.625" bestFit="1" customWidth="1"/>
    <col min="16" max="16" width="9.625" bestFit="1" customWidth="1"/>
    <col min="17" max="17" width="13.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25">
      <c r="A2" s="130" t="s">
        <v>985</v>
      </c>
      <c r="B2" s="2"/>
      <c r="C2" s="2"/>
      <c r="E2" s="4">
        <v>100000210</v>
      </c>
      <c r="F2" s="119"/>
      <c r="G2" s="130" t="s">
        <v>986</v>
      </c>
      <c r="H2" s="2"/>
      <c r="I2" s="2"/>
      <c r="K2" s="4">
        <v>100000210</v>
      </c>
      <c r="L2" s="372"/>
    </row>
    <row r="3" spans="1:18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.5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.5">
      <c r="A5" s="114" t="s">
        <v>238</v>
      </c>
      <c r="B5" s="115" t="s">
        <v>12</v>
      </c>
      <c r="C5" s="120">
        <v>1377</v>
      </c>
      <c r="D5" s="116">
        <v>189.2</v>
      </c>
      <c r="E5" s="117">
        <v>252279</v>
      </c>
      <c r="F5" s="121">
        <v>51131050</v>
      </c>
      <c r="G5" s="114" t="s">
        <v>238</v>
      </c>
      <c r="H5" s="115" t="s">
        <v>12</v>
      </c>
      <c r="I5" s="120">
        <v>5311.73</v>
      </c>
      <c r="J5" s="116">
        <v>729.94</v>
      </c>
      <c r="K5" s="117">
        <v>984178</v>
      </c>
      <c r="L5" s="248">
        <f t="shared" ref="L5:L12" si="0">E5+K5</f>
        <v>1236457</v>
      </c>
      <c r="M5" s="130"/>
      <c r="N5" s="130"/>
      <c r="O5" s="130"/>
      <c r="R5" s="425">
        <f t="shared" ref="R5:R10" si="1">E5+K5+Q5</f>
        <v>1236457</v>
      </c>
    </row>
    <row r="6" spans="1:18" s="5" customFormat="1" ht="13.5">
      <c r="A6" s="114" t="s">
        <v>294</v>
      </c>
      <c r="B6" s="115" t="s">
        <v>14</v>
      </c>
      <c r="C6" s="116">
        <v>35610.730000000003</v>
      </c>
      <c r="D6" s="116">
        <v>4892.87</v>
      </c>
      <c r="E6" s="117">
        <v>6524153</v>
      </c>
      <c r="F6" s="121">
        <v>51061030</v>
      </c>
      <c r="G6" s="114" t="s">
        <v>294</v>
      </c>
      <c r="H6" s="115" t="s">
        <v>14</v>
      </c>
      <c r="I6" s="116">
        <v>8098.08</v>
      </c>
      <c r="J6" s="116">
        <v>1112.8399999999999</v>
      </c>
      <c r="K6" s="117">
        <v>1500442</v>
      </c>
      <c r="L6" s="248">
        <f t="shared" si="0"/>
        <v>8024595</v>
      </c>
      <c r="M6" s="130"/>
      <c r="N6" s="130"/>
      <c r="O6" s="130"/>
      <c r="R6" s="425">
        <f t="shared" si="1"/>
        <v>8024595</v>
      </c>
    </row>
    <row r="7" spans="1:18" s="5" customFormat="1" ht="13.5">
      <c r="A7" s="114" t="s">
        <v>75</v>
      </c>
      <c r="B7" s="115" t="s">
        <v>16</v>
      </c>
      <c r="C7" s="116">
        <v>20023</v>
      </c>
      <c r="D7" s="116">
        <v>2751.13</v>
      </c>
      <c r="E7" s="117">
        <v>3668357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3668357</v>
      </c>
      <c r="M7" s="130"/>
      <c r="N7" s="130"/>
      <c r="O7" s="130"/>
      <c r="R7" s="425">
        <f t="shared" si="1"/>
        <v>3668357</v>
      </c>
    </row>
    <row r="8" spans="1:18" s="5" customFormat="1" ht="13.5">
      <c r="A8" s="114" t="s">
        <v>75</v>
      </c>
      <c r="B8" s="114" t="s">
        <v>17</v>
      </c>
      <c r="C8" s="116">
        <v>10500</v>
      </c>
      <c r="D8" s="116">
        <v>1442.69</v>
      </c>
      <c r="E8" s="117">
        <v>1923683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1923683</v>
      </c>
      <c r="M8" s="130"/>
      <c r="N8" s="130"/>
      <c r="O8" s="130"/>
      <c r="R8" s="425">
        <f t="shared" si="1"/>
        <v>1923683</v>
      </c>
    </row>
    <row r="9" spans="1:18" s="5" customFormat="1" ht="13.5">
      <c r="A9" s="114" t="s">
        <v>296</v>
      </c>
      <c r="B9" s="114" t="s">
        <v>20</v>
      </c>
      <c r="C9" s="116">
        <v>98.7</v>
      </c>
      <c r="D9" s="116">
        <v>13.56</v>
      </c>
      <c r="E9" s="117">
        <v>18081</v>
      </c>
      <c r="F9" s="121">
        <v>51071700</v>
      </c>
      <c r="G9" s="114" t="s">
        <v>296</v>
      </c>
      <c r="H9" s="114" t="s">
        <v>20</v>
      </c>
      <c r="I9" s="116">
        <v>1197.08</v>
      </c>
      <c r="J9" s="116">
        <v>164.5</v>
      </c>
      <c r="K9" s="117">
        <v>221795</v>
      </c>
      <c r="L9" s="248">
        <f t="shared" si="0"/>
        <v>239876</v>
      </c>
      <c r="M9" s="130"/>
      <c r="N9" s="130"/>
      <c r="O9" s="130"/>
      <c r="R9" s="425">
        <f t="shared" si="1"/>
        <v>239876</v>
      </c>
    </row>
    <row r="10" spans="1:18" s="5" customFormat="1" ht="13.5">
      <c r="A10" s="114" t="s">
        <v>62</v>
      </c>
      <c r="B10" s="115"/>
      <c r="C10" s="116">
        <v>253540.88000000003</v>
      </c>
      <c r="D10" s="116">
        <v>34836.160000000003</v>
      </c>
      <c r="E10" s="117">
        <v>46450536</v>
      </c>
      <c r="F10" s="121">
        <v>51321010</v>
      </c>
      <c r="G10" s="114" t="s">
        <v>62</v>
      </c>
      <c r="H10" s="115"/>
      <c r="I10" s="116">
        <v>997.7</v>
      </c>
      <c r="J10" s="116">
        <v>163.1</v>
      </c>
      <c r="K10" s="117">
        <v>219908</v>
      </c>
      <c r="L10" s="248">
        <f t="shared" si="0"/>
        <v>46670444</v>
      </c>
      <c r="M10" s="130"/>
      <c r="N10" s="130"/>
      <c r="O10" s="130"/>
      <c r="R10" s="425">
        <f t="shared" si="1"/>
        <v>46670444</v>
      </c>
    </row>
    <row r="11" spans="1:18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.5">
      <c r="A12" s="1516" t="s">
        <v>299</v>
      </c>
      <c r="B12" s="1517"/>
      <c r="C12" s="467">
        <f>SUM(C4:C10)</f>
        <v>321150.31000000006</v>
      </c>
      <c r="D12" s="467">
        <f>SUM(D4:D10)</f>
        <v>44125.61</v>
      </c>
      <c r="E12" s="468">
        <f>SUM(E4:E10)</f>
        <v>58837089</v>
      </c>
      <c r="F12" s="119"/>
      <c r="G12" s="1493" t="s">
        <v>299</v>
      </c>
      <c r="H12" s="1494"/>
      <c r="I12" s="124">
        <f>SUM(I4:I11)</f>
        <v>15604.59</v>
      </c>
      <c r="J12" s="124">
        <f>SUM(J4:J11)</f>
        <v>2170.38</v>
      </c>
      <c r="K12" s="125">
        <f>SUM(K4:K11)</f>
        <v>2926323</v>
      </c>
      <c r="L12" s="248">
        <f t="shared" si="0"/>
        <v>61763412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336754.90000000008</v>
      </c>
      <c r="D13" s="469">
        <f>D12+J12</f>
        <v>46295.99</v>
      </c>
      <c r="E13" s="470">
        <f>E12+K12</f>
        <v>61763412</v>
      </c>
      <c r="F13" s="121"/>
      <c r="G13" s="130"/>
      <c r="H13" s="130"/>
      <c r="I13" s="131"/>
      <c r="J13" s="130"/>
      <c r="K13" s="288"/>
      <c r="L13" s="253">
        <v>2425.7418328151257</v>
      </c>
      <c r="M13" s="130"/>
      <c r="N13" s="493"/>
      <c r="O13" s="130"/>
    </row>
    <row r="14" spans="1:18" s="5" customFormat="1" ht="13.5">
      <c r="A14" s="2"/>
      <c r="C14" s="398"/>
      <c r="D14" s="398"/>
      <c r="E14" s="471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.5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.5">
      <c r="B16" s="134">
        <v>13081010</v>
      </c>
      <c r="C16" s="135"/>
      <c r="D16" s="135"/>
      <c r="G16" s="6"/>
      <c r="H16" s="137"/>
      <c r="I16" s="137">
        <f>SUBTOTAL(9,I19:I149)</f>
        <v>336754.89999999979</v>
      </c>
      <c r="J16" s="137">
        <f>SUBTOTAL(9,J19:J147)</f>
        <v>46295.993570647261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321150.3100000007</v>
      </c>
      <c r="L19" s="241">
        <v>44125.610029843265</v>
      </c>
      <c r="M19" s="240"/>
      <c r="N19" s="45">
        <v>44125.61</v>
      </c>
    </row>
    <row r="20" spans="1:14" s="5" customFormat="1" ht="13.5" customHeight="1">
      <c r="A20" s="376">
        <v>45210</v>
      </c>
      <c r="B20" s="377" t="s">
        <v>643</v>
      </c>
      <c r="C20" s="377"/>
      <c r="D20" s="378">
        <v>1</v>
      </c>
      <c r="E20" s="188"/>
      <c r="F20" s="377"/>
      <c r="G20" s="379">
        <v>319145.18</v>
      </c>
      <c r="H20" s="380">
        <v>43883</v>
      </c>
      <c r="I20" s="381"/>
      <c r="J20" s="431">
        <f>I20/'통장내역(환율표)'!$D$127</f>
        <v>0</v>
      </c>
      <c r="K20" s="380">
        <f>K19+G20-I20</f>
        <v>640295.49000000069</v>
      </c>
      <c r="L20" s="380">
        <f>L19+H20-J20</f>
        <v>88008.610029843258</v>
      </c>
      <c r="M20" s="383"/>
      <c r="N20" s="45"/>
    </row>
    <row r="21" spans="1:14" s="5" customFormat="1" ht="13.5" customHeight="1">
      <c r="A21" s="376">
        <v>45210</v>
      </c>
      <c r="B21" s="377" t="s">
        <v>250</v>
      </c>
      <c r="C21" s="377"/>
      <c r="D21" s="37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640295.49000000069</v>
      </c>
      <c r="L21" s="380">
        <f t="shared" ref="L21:L84" si="3">L20+H21-J21</f>
        <v>87982.610029843258</v>
      </c>
      <c r="M21" s="383"/>
      <c r="N21" s="45"/>
    </row>
    <row r="22" spans="1:14" s="5" customFormat="1" ht="13.5" customHeight="1">
      <c r="A22" s="263">
        <v>45216</v>
      </c>
      <c r="B22" s="373" t="s">
        <v>940</v>
      </c>
      <c r="C22" s="373"/>
      <c r="D22" s="492">
        <v>2</v>
      </c>
      <c r="E22" s="37" t="s">
        <v>62</v>
      </c>
      <c r="F22" s="355"/>
      <c r="G22" s="375"/>
      <c r="H22" s="384"/>
      <c r="I22" s="278">
        <v>52291.33</v>
      </c>
      <c r="J22" s="431">
        <f>I22/'통장내역(환율표)'!$D$127</f>
        <v>7184.7566814487691</v>
      </c>
      <c r="K22" s="271">
        <f t="shared" si="2"/>
        <v>588004.16000000073</v>
      </c>
      <c r="L22" s="271">
        <f t="shared" si="3"/>
        <v>80797.853348394492</v>
      </c>
      <c r="M22" s="33"/>
      <c r="N22" s="45">
        <f>N19-J22+H22</f>
        <v>36940.853318551235</v>
      </c>
    </row>
    <row r="23" spans="1:14" s="5" customFormat="1" ht="13.5" customHeight="1">
      <c r="A23" s="263">
        <v>45220</v>
      </c>
      <c r="B23" s="373" t="s">
        <v>892</v>
      </c>
      <c r="C23" s="373"/>
      <c r="D23" s="492">
        <v>3</v>
      </c>
      <c r="E23" s="37" t="s">
        <v>62</v>
      </c>
      <c r="F23" s="355"/>
      <c r="G23" s="375"/>
      <c r="H23" s="33"/>
      <c r="I23" s="278">
        <v>15000</v>
      </c>
      <c r="J23" s="431">
        <f>I23/'통장내역(환율표)'!$D$127</f>
        <v>2060.9793291111841</v>
      </c>
      <c r="K23" s="271">
        <f t="shared" si="2"/>
        <v>573004.16000000073</v>
      </c>
      <c r="L23" s="271">
        <f t="shared" si="3"/>
        <v>78736.874019283307</v>
      </c>
      <c r="M23" s="33" t="s">
        <v>949</v>
      </c>
      <c r="N23" s="45">
        <f>N22-J23+H23</f>
        <v>34879.87398944005</v>
      </c>
    </row>
    <row r="24" spans="1:14" s="5" customFormat="1" ht="13.5" customHeight="1">
      <c r="A24" s="263">
        <v>45220</v>
      </c>
      <c r="B24" s="373" t="s">
        <v>947</v>
      </c>
      <c r="C24" s="373"/>
      <c r="D24" s="492">
        <v>3</v>
      </c>
      <c r="E24" s="37" t="s">
        <v>62</v>
      </c>
      <c r="F24" s="355"/>
      <c r="G24" s="375"/>
      <c r="H24" s="33"/>
      <c r="I24" s="278">
        <v>22000</v>
      </c>
      <c r="J24" s="431">
        <f>I24/'통장내역(환율표)'!$D$127</f>
        <v>3022.7696826964034</v>
      </c>
      <c r="K24" s="271">
        <f t="shared" si="2"/>
        <v>551004.16000000073</v>
      </c>
      <c r="L24" s="271">
        <f t="shared" si="3"/>
        <v>75714.104336586897</v>
      </c>
      <c r="M24" s="33" t="s">
        <v>949</v>
      </c>
      <c r="N24" s="45">
        <f t="shared" ref="N24:N80" si="4">N23-J24+H24</f>
        <v>31857.104306743648</v>
      </c>
    </row>
    <row r="25" spans="1:14" s="5" customFormat="1" ht="13.5" customHeight="1">
      <c r="A25" s="263">
        <v>45220</v>
      </c>
      <c r="B25" s="373" t="s">
        <v>894</v>
      </c>
      <c r="C25" s="373"/>
      <c r="D25" s="492">
        <v>3</v>
      </c>
      <c r="E25" s="37" t="s">
        <v>62</v>
      </c>
      <c r="F25" s="355"/>
      <c r="G25" s="375"/>
      <c r="H25" s="33"/>
      <c r="I25" s="278">
        <v>4673.3899999999994</v>
      </c>
      <c r="J25" s="431">
        <f>I25/'통장내역(환율표)'!$D$127</f>
        <v>642.11734579166102</v>
      </c>
      <c r="K25" s="271">
        <f t="shared" si="2"/>
        <v>546330.77000000072</v>
      </c>
      <c r="L25" s="271">
        <f t="shared" si="3"/>
        <v>75071.986990795238</v>
      </c>
      <c r="M25" s="33" t="s">
        <v>949</v>
      </c>
      <c r="N25" s="45">
        <f t="shared" si="4"/>
        <v>31214.986960951988</v>
      </c>
    </row>
    <row r="26" spans="1:14" s="5" customFormat="1" ht="13.5" customHeight="1">
      <c r="A26" s="263">
        <v>45220</v>
      </c>
      <c r="B26" s="373" t="s">
        <v>895</v>
      </c>
      <c r="C26" s="373"/>
      <c r="D26" s="492">
        <v>3</v>
      </c>
      <c r="E26" s="37" t="s">
        <v>62</v>
      </c>
      <c r="F26" s="355"/>
      <c r="G26" s="375"/>
      <c r="H26" s="33"/>
      <c r="I26" s="278">
        <v>6098.5799999999945</v>
      </c>
      <c r="J26" s="431">
        <f>I26/'통장내역(환율표)'!$D$127</f>
        <v>837.93648779539149</v>
      </c>
      <c r="K26" s="271">
        <f t="shared" si="2"/>
        <v>540232.19000000076</v>
      </c>
      <c r="L26" s="271">
        <f t="shared" si="3"/>
        <v>74234.050502999846</v>
      </c>
      <c r="M26" s="33" t="s">
        <v>949</v>
      </c>
      <c r="N26" s="45">
        <f t="shared" si="4"/>
        <v>30377.050473156596</v>
      </c>
    </row>
    <row r="27" spans="1:14" s="5" customFormat="1" ht="13.5" customHeight="1">
      <c r="A27" s="263">
        <v>45220</v>
      </c>
      <c r="B27" s="373" t="s">
        <v>899</v>
      </c>
      <c r="C27" s="373"/>
      <c r="D27" s="492">
        <v>3</v>
      </c>
      <c r="E27" s="37" t="s">
        <v>62</v>
      </c>
      <c r="F27" s="355"/>
      <c r="G27" s="375"/>
      <c r="H27" s="33"/>
      <c r="I27" s="278">
        <v>300</v>
      </c>
      <c r="J27" s="431">
        <f>I27/'통장내역(환율표)'!$D$127</f>
        <v>41.219586582223677</v>
      </c>
      <c r="K27" s="271">
        <f t="shared" si="2"/>
        <v>539932.19000000076</v>
      </c>
      <c r="L27" s="271">
        <f t="shared" si="3"/>
        <v>74192.830916417617</v>
      </c>
      <c r="M27" s="33" t="s">
        <v>949</v>
      </c>
      <c r="N27" s="45">
        <f t="shared" si="4"/>
        <v>30335.830886574371</v>
      </c>
    </row>
    <row r="28" spans="1:14" s="5" customFormat="1" ht="13.5" customHeight="1">
      <c r="A28" s="263">
        <v>45220</v>
      </c>
      <c r="B28" s="373" t="s">
        <v>892</v>
      </c>
      <c r="C28" s="373"/>
      <c r="D28" s="492">
        <v>3</v>
      </c>
      <c r="E28" s="37" t="s">
        <v>62</v>
      </c>
      <c r="F28" s="355"/>
      <c r="G28" s="375"/>
      <c r="H28" s="33"/>
      <c r="I28" s="278">
        <v>15000</v>
      </c>
      <c r="J28" s="431">
        <f>I28/'통장내역(환율표)'!$D$127</f>
        <v>2060.9793291111841</v>
      </c>
      <c r="K28" s="271">
        <f t="shared" si="2"/>
        <v>524932.19000000076</v>
      </c>
      <c r="L28" s="271">
        <f t="shared" si="3"/>
        <v>72131.851587306432</v>
      </c>
      <c r="M28" s="33" t="s">
        <v>950</v>
      </c>
      <c r="N28" s="45">
        <f t="shared" si="4"/>
        <v>28274.851557463186</v>
      </c>
    </row>
    <row r="29" spans="1:14" s="5" customFormat="1" ht="13.5" customHeight="1">
      <c r="A29" s="263">
        <v>45220</v>
      </c>
      <c r="B29" s="373" t="s">
        <v>947</v>
      </c>
      <c r="C29" s="373"/>
      <c r="D29" s="492">
        <v>3</v>
      </c>
      <c r="E29" s="37" t="s">
        <v>62</v>
      </c>
      <c r="F29" s="355"/>
      <c r="G29" s="375"/>
      <c r="H29" s="33"/>
      <c r="I29" s="278">
        <v>22000</v>
      </c>
      <c r="J29" s="431">
        <f>I29/'통장내역(환율표)'!$D$127</f>
        <v>3022.7696826964034</v>
      </c>
      <c r="K29" s="271">
        <f t="shared" si="2"/>
        <v>502932.19000000076</v>
      </c>
      <c r="L29" s="271">
        <f t="shared" si="3"/>
        <v>69109.081904610022</v>
      </c>
      <c r="M29" s="33" t="s">
        <v>950</v>
      </c>
      <c r="N29" s="45">
        <f t="shared" si="4"/>
        <v>25252.081874766784</v>
      </c>
    </row>
    <row r="30" spans="1:14" s="5" customFormat="1" ht="13.5" customHeight="1">
      <c r="A30" s="263">
        <v>45220</v>
      </c>
      <c r="B30" s="373" t="s">
        <v>894</v>
      </c>
      <c r="C30" s="373"/>
      <c r="D30" s="492">
        <v>3</v>
      </c>
      <c r="E30" s="37" t="s">
        <v>62</v>
      </c>
      <c r="F30" s="355"/>
      <c r="G30" s="375"/>
      <c r="H30" s="33"/>
      <c r="I30" s="278">
        <v>8423.39</v>
      </c>
      <c r="J30" s="431">
        <f>I30/'통장내역(환율표)'!$D$127</f>
        <v>1157.3621780694571</v>
      </c>
      <c r="K30" s="271">
        <f t="shared" si="2"/>
        <v>494508.80000000075</v>
      </c>
      <c r="L30" s="271">
        <f t="shared" si="3"/>
        <v>67951.71972654057</v>
      </c>
      <c r="M30" s="33" t="s">
        <v>950</v>
      </c>
      <c r="N30" s="45">
        <f t="shared" si="4"/>
        <v>24094.719696697328</v>
      </c>
    </row>
    <row r="31" spans="1:14" s="5" customFormat="1" ht="13.5" customHeight="1">
      <c r="A31" s="263">
        <v>45220</v>
      </c>
      <c r="B31" s="373" t="s">
        <v>895</v>
      </c>
      <c r="C31" s="373"/>
      <c r="D31" s="492">
        <v>3</v>
      </c>
      <c r="E31" s="37" t="s">
        <v>62</v>
      </c>
      <c r="F31" s="355"/>
      <c r="G31" s="375"/>
      <c r="H31" s="33"/>
      <c r="I31" s="278">
        <v>5738.5799999999945</v>
      </c>
      <c r="J31" s="431">
        <f>I31/'통장내역(환율표)'!$D$127</f>
        <v>788.47298389672312</v>
      </c>
      <c r="K31" s="271">
        <f t="shared" si="2"/>
        <v>488770.22000000073</v>
      </c>
      <c r="L31" s="271">
        <f t="shared" si="3"/>
        <v>67163.246742643852</v>
      </c>
      <c r="M31" s="33" t="s">
        <v>950</v>
      </c>
      <c r="N31" s="45">
        <f t="shared" si="4"/>
        <v>23306.246712800606</v>
      </c>
    </row>
    <row r="32" spans="1:14" s="5" customFormat="1" ht="13.5" customHeight="1">
      <c r="A32" s="263">
        <v>45220</v>
      </c>
      <c r="B32" s="373" t="s">
        <v>899</v>
      </c>
      <c r="C32" s="373"/>
      <c r="D32" s="492">
        <v>3</v>
      </c>
      <c r="E32" s="37" t="s">
        <v>62</v>
      </c>
      <c r="F32" s="355"/>
      <c r="G32" s="375"/>
      <c r="H32" s="33"/>
      <c r="I32" s="278">
        <v>300</v>
      </c>
      <c r="J32" s="431">
        <f>I32/'통장내역(환율표)'!$D$127</f>
        <v>41.219586582223677</v>
      </c>
      <c r="K32" s="271">
        <f t="shared" si="2"/>
        <v>488470.22000000073</v>
      </c>
      <c r="L32" s="271">
        <f t="shared" si="3"/>
        <v>67122.027156061624</v>
      </c>
      <c r="M32" s="33" t="s">
        <v>950</v>
      </c>
      <c r="N32" s="45">
        <f t="shared" si="4"/>
        <v>23265.027126218381</v>
      </c>
    </row>
    <row r="33" spans="1:14" s="5" customFormat="1" ht="13.5" customHeight="1">
      <c r="A33" s="263">
        <v>45220</v>
      </c>
      <c r="B33" s="373" t="s">
        <v>988</v>
      </c>
      <c r="C33" s="373"/>
      <c r="D33" s="492">
        <v>3</v>
      </c>
      <c r="E33" s="37" t="s">
        <v>62</v>
      </c>
      <c r="F33" s="355"/>
      <c r="G33" s="375"/>
      <c r="H33" s="33"/>
      <c r="I33" s="278">
        <v>25000</v>
      </c>
      <c r="J33" s="431">
        <f>I33/'통장내역(환율표)'!$D$127</f>
        <v>3434.9655485186399</v>
      </c>
      <c r="K33" s="271">
        <f t="shared" si="2"/>
        <v>463470.22000000073</v>
      </c>
      <c r="L33" s="271">
        <f t="shared" si="3"/>
        <v>63687.061607542986</v>
      </c>
      <c r="M33" s="33" t="s">
        <v>951</v>
      </c>
      <c r="N33" s="45">
        <f t="shared" si="4"/>
        <v>19830.06157769974</v>
      </c>
    </row>
    <row r="34" spans="1:14" s="5" customFormat="1" ht="13.5" customHeight="1">
      <c r="A34" s="263">
        <v>45220</v>
      </c>
      <c r="B34" s="373" t="s">
        <v>989</v>
      </c>
      <c r="C34" s="373"/>
      <c r="D34" s="492">
        <v>3</v>
      </c>
      <c r="E34" s="37" t="s">
        <v>62</v>
      </c>
      <c r="F34" s="355"/>
      <c r="G34" s="375"/>
      <c r="H34" s="33"/>
      <c r="I34" s="278">
        <v>12500</v>
      </c>
      <c r="J34" s="431">
        <f>I34/'통장내역(환율표)'!$D$127</f>
        <v>1717.48277425932</v>
      </c>
      <c r="K34" s="271">
        <f t="shared" si="2"/>
        <v>450970.22000000073</v>
      </c>
      <c r="L34" s="271">
        <f t="shared" si="3"/>
        <v>61969.578833283667</v>
      </c>
      <c r="M34" s="33" t="s">
        <v>951</v>
      </c>
      <c r="N34" s="45">
        <f t="shared" si="4"/>
        <v>18112.578803440421</v>
      </c>
    </row>
    <row r="35" spans="1:14" s="5" customFormat="1" ht="13.5" customHeight="1">
      <c r="A35" s="263">
        <v>45220</v>
      </c>
      <c r="B35" s="373" t="s">
        <v>948</v>
      </c>
      <c r="C35" s="373"/>
      <c r="D35" s="492">
        <v>3</v>
      </c>
      <c r="E35" s="37" t="s">
        <v>62</v>
      </c>
      <c r="F35" s="355"/>
      <c r="G35" s="375"/>
      <c r="H35" s="33"/>
      <c r="I35" s="278">
        <v>5363.71</v>
      </c>
      <c r="J35" s="431">
        <f>I35/'통장내역(환율표)'!$D$127</f>
        <v>736.96636248979655</v>
      </c>
      <c r="K35" s="271">
        <f t="shared" si="2"/>
        <v>445606.51000000071</v>
      </c>
      <c r="L35" s="271">
        <f t="shared" si="3"/>
        <v>61232.612470793872</v>
      </c>
      <c r="M35" s="33" t="s">
        <v>951</v>
      </c>
      <c r="N35" s="45">
        <f t="shared" si="4"/>
        <v>17375.612440950626</v>
      </c>
    </row>
    <row r="36" spans="1:14" s="5" customFormat="1" ht="13.5" customHeight="1">
      <c r="A36" s="263">
        <v>45220</v>
      </c>
      <c r="B36" s="373" t="s">
        <v>899</v>
      </c>
      <c r="C36" s="373"/>
      <c r="D36" s="492">
        <v>3</v>
      </c>
      <c r="E36" s="37" t="s">
        <v>62</v>
      </c>
      <c r="F36" s="355"/>
      <c r="G36" s="375"/>
      <c r="H36" s="33"/>
      <c r="I36" s="278">
        <v>300</v>
      </c>
      <c r="J36" s="431">
        <f>I36/'통장내역(환율표)'!$D$127</f>
        <v>41.219586582223677</v>
      </c>
      <c r="K36" s="271">
        <f t="shared" si="2"/>
        <v>445306.51000000071</v>
      </c>
      <c r="L36" s="271">
        <f t="shared" si="3"/>
        <v>61191.392884211651</v>
      </c>
      <c r="M36" s="33" t="s">
        <v>951</v>
      </c>
      <c r="N36" s="45">
        <f t="shared" si="4"/>
        <v>17334.392854368401</v>
      </c>
    </row>
    <row r="37" spans="1:14" s="5" customFormat="1" ht="13.5" customHeight="1">
      <c r="A37" s="263">
        <v>45220</v>
      </c>
      <c r="B37" s="373" t="s">
        <v>990</v>
      </c>
      <c r="C37" s="373"/>
      <c r="D37" s="492">
        <v>3</v>
      </c>
      <c r="E37" s="37" t="s">
        <v>62</v>
      </c>
      <c r="F37" s="355"/>
      <c r="G37" s="375"/>
      <c r="H37" s="33"/>
      <c r="I37" s="278">
        <v>1000</v>
      </c>
      <c r="J37" s="431">
        <f>I37/'통장내역(환율표)'!$D$127</f>
        <v>137.39862194074558</v>
      </c>
      <c r="K37" s="271">
        <f t="shared" si="2"/>
        <v>444306.51000000071</v>
      </c>
      <c r="L37" s="271">
        <f t="shared" si="3"/>
        <v>61053.994262270906</v>
      </c>
      <c r="M37" s="33" t="s">
        <v>951</v>
      </c>
      <c r="N37" s="45">
        <f t="shared" si="4"/>
        <v>17196.994232427656</v>
      </c>
    </row>
    <row r="38" spans="1:14" s="5" customFormat="1" ht="13.5" customHeight="1">
      <c r="A38" s="263">
        <v>45220</v>
      </c>
      <c r="B38" s="373" t="s">
        <v>898</v>
      </c>
      <c r="C38" s="373"/>
      <c r="D38" s="492">
        <v>3</v>
      </c>
      <c r="E38" s="37" t="s">
        <v>62</v>
      </c>
      <c r="F38" s="355"/>
      <c r="G38" s="375"/>
      <c r="H38" s="33"/>
      <c r="I38" s="278">
        <v>11700</v>
      </c>
      <c r="J38" s="431">
        <f>I38/'통장내역(환율표)'!$D$127</f>
        <v>1607.5638767067235</v>
      </c>
      <c r="K38" s="271">
        <f t="shared" si="2"/>
        <v>432606.51000000071</v>
      </c>
      <c r="L38" s="271">
        <f t="shared" si="3"/>
        <v>59446.430385564185</v>
      </c>
      <c r="M38" s="33" t="s">
        <v>952</v>
      </c>
      <c r="N38" s="45">
        <f t="shared" si="4"/>
        <v>15589.430355720933</v>
      </c>
    </row>
    <row r="39" spans="1:14" s="5" customFormat="1" ht="13.5" customHeight="1">
      <c r="A39" s="263">
        <v>45220</v>
      </c>
      <c r="B39" s="373" t="s">
        <v>948</v>
      </c>
      <c r="C39" s="373"/>
      <c r="D39" s="492">
        <v>3</v>
      </c>
      <c r="E39" s="37" t="s">
        <v>62</v>
      </c>
      <c r="F39" s="355"/>
      <c r="G39" s="375"/>
      <c r="H39" s="33"/>
      <c r="I39" s="278">
        <v>2816.83</v>
      </c>
      <c r="J39" s="431">
        <f>I39/'통장내역(환율표)'!$D$127</f>
        <v>387.02856024135042</v>
      </c>
      <c r="K39" s="271">
        <f t="shared" si="2"/>
        <v>429789.68000000069</v>
      </c>
      <c r="L39" s="271">
        <f t="shared" si="3"/>
        <v>59059.401825322835</v>
      </c>
      <c r="M39" s="33" t="s">
        <v>952</v>
      </c>
      <c r="N39" s="45">
        <f t="shared" si="4"/>
        <v>15202.401795479584</v>
      </c>
    </row>
    <row r="40" spans="1:14" s="5" customFormat="1" ht="13.5" customHeight="1">
      <c r="A40" s="263">
        <v>45220</v>
      </c>
      <c r="B40" s="373" t="s">
        <v>899</v>
      </c>
      <c r="C40" s="373"/>
      <c r="D40" s="492">
        <v>3</v>
      </c>
      <c r="E40" s="37" t="s">
        <v>62</v>
      </c>
      <c r="F40" s="355"/>
      <c r="G40" s="375"/>
      <c r="H40" s="33"/>
      <c r="I40" s="278">
        <v>500</v>
      </c>
      <c r="J40" s="431">
        <f>I40/'통장내역(환율표)'!$D$127</f>
        <v>68.699310970372792</v>
      </c>
      <c r="K40" s="271">
        <f t="shared" si="2"/>
        <v>429289.68000000069</v>
      </c>
      <c r="L40" s="271">
        <f t="shared" si="3"/>
        <v>58990.702514352459</v>
      </c>
      <c r="M40" s="33" t="s">
        <v>952</v>
      </c>
      <c r="N40" s="45">
        <f t="shared" si="4"/>
        <v>15133.702484509211</v>
      </c>
    </row>
    <row r="41" spans="1:14" s="5" customFormat="1" ht="13.5" customHeight="1">
      <c r="A41" s="263">
        <v>45220</v>
      </c>
      <c r="B41" s="373" t="s">
        <v>990</v>
      </c>
      <c r="C41" s="373"/>
      <c r="D41" s="492">
        <v>3</v>
      </c>
      <c r="E41" s="37" t="s">
        <v>62</v>
      </c>
      <c r="F41" s="355"/>
      <c r="G41" s="375"/>
      <c r="H41" s="33"/>
      <c r="I41" s="278">
        <v>300</v>
      </c>
      <c r="J41" s="431">
        <f>I41/'통장내역(환율표)'!$D$127</f>
        <v>41.219586582223677</v>
      </c>
      <c r="K41" s="271">
        <f t="shared" si="2"/>
        <v>428989.68000000069</v>
      </c>
      <c r="L41" s="271">
        <f t="shared" si="3"/>
        <v>58949.482927770237</v>
      </c>
      <c r="M41" s="33" t="s">
        <v>952</v>
      </c>
      <c r="N41" s="45">
        <f t="shared" si="4"/>
        <v>15092.482897926988</v>
      </c>
    </row>
    <row r="42" spans="1:14" s="5" customFormat="1" ht="13.5" customHeight="1">
      <c r="A42" s="263">
        <v>45220</v>
      </c>
      <c r="B42" s="373" t="s">
        <v>898</v>
      </c>
      <c r="C42" s="373"/>
      <c r="D42" s="492">
        <v>3</v>
      </c>
      <c r="E42" s="37" t="s">
        <v>62</v>
      </c>
      <c r="F42" s="355"/>
      <c r="G42" s="375"/>
      <c r="H42" s="33"/>
      <c r="I42" s="278">
        <v>25000</v>
      </c>
      <c r="J42" s="431">
        <f>I42/'통장내역(환율표)'!$D$127</f>
        <v>3434.9655485186399</v>
      </c>
      <c r="K42" s="271">
        <f t="shared" si="2"/>
        <v>403989.68000000069</v>
      </c>
      <c r="L42" s="271">
        <f t="shared" si="3"/>
        <v>55514.5173792516</v>
      </c>
      <c r="M42" s="33" t="s">
        <v>953</v>
      </c>
      <c r="N42" s="45">
        <f t="shared" si="4"/>
        <v>11657.517349408348</v>
      </c>
    </row>
    <row r="43" spans="1:14" s="5" customFormat="1" ht="13.5" customHeight="1">
      <c r="A43" s="263">
        <v>45220</v>
      </c>
      <c r="B43" s="373" t="s">
        <v>948</v>
      </c>
      <c r="C43" s="373"/>
      <c r="D43" s="492">
        <v>3</v>
      </c>
      <c r="E43" s="37" t="s">
        <v>62</v>
      </c>
      <c r="F43" s="355"/>
      <c r="G43" s="375"/>
      <c r="H43" s="33"/>
      <c r="I43" s="278">
        <v>6738.71</v>
      </c>
      <c r="J43" s="431">
        <f>I43/'통장내역(환율표)'!$D$127</f>
        <v>925.88946765832179</v>
      </c>
      <c r="K43" s="271">
        <f t="shared" si="2"/>
        <v>397250.97000000067</v>
      </c>
      <c r="L43" s="271">
        <f t="shared" si="3"/>
        <v>54588.627911593278</v>
      </c>
      <c r="M43" s="33" t="s">
        <v>953</v>
      </c>
      <c r="N43" s="45">
        <f t="shared" si="4"/>
        <v>10731.627881750026</v>
      </c>
    </row>
    <row r="44" spans="1:14" s="5" customFormat="1" ht="13.5" customHeight="1">
      <c r="A44" s="263">
        <v>45220</v>
      </c>
      <c r="B44" s="373" t="s">
        <v>899</v>
      </c>
      <c r="C44" s="373"/>
      <c r="D44" s="492">
        <v>3</v>
      </c>
      <c r="E44" s="37" t="s">
        <v>62</v>
      </c>
      <c r="F44" s="355"/>
      <c r="G44" s="375"/>
      <c r="H44" s="33"/>
      <c r="I44" s="278">
        <v>300</v>
      </c>
      <c r="J44" s="431">
        <f>I44/'통장내역(환율표)'!$D$127</f>
        <v>41.219586582223677</v>
      </c>
      <c r="K44" s="271">
        <f t="shared" si="2"/>
        <v>396950.97000000067</v>
      </c>
      <c r="L44" s="271">
        <f t="shared" si="3"/>
        <v>54547.408325011056</v>
      </c>
      <c r="M44" s="33" t="s">
        <v>953</v>
      </c>
      <c r="N44" s="45">
        <f t="shared" si="4"/>
        <v>10690.408295167803</v>
      </c>
    </row>
    <row r="45" spans="1:14" s="5" customFormat="1" ht="13.5" customHeight="1">
      <c r="A45" s="263">
        <v>45220</v>
      </c>
      <c r="B45" s="373" t="s">
        <v>990</v>
      </c>
      <c r="C45" s="373"/>
      <c r="D45" s="492">
        <v>3</v>
      </c>
      <c r="E45" s="37" t="s">
        <v>62</v>
      </c>
      <c r="F45" s="355"/>
      <c r="G45" s="375"/>
      <c r="H45" s="33"/>
      <c r="I45" s="278">
        <v>400</v>
      </c>
      <c r="J45" s="431">
        <f>I45/'통장내역(환율표)'!$D$127</f>
        <v>54.959448776298238</v>
      </c>
      <c r="K45" s="271">
        <f t="shared" si="2"/>
        <v>396550.97000000067</v>
      </c>
      <c r="L45" s="271">
        <f t="shared" si="3"/>
        <v>54492.448876234761</v>
      </c>
      <c r="M45" s="33" t="s">
        <v>953</v>
      </c>
      <c r="N45" s="45">
        <f t="shared" si="4"/>
        <v>10635.448846391504</v>
      </c>
    </row>
    <row r="46" spans="1:14" s="5" customFormat="1" ht="13.5" customHeight="1">
      <c r="A46" s="263">
        <v>45220</v>
      </c>
      <c r="B46" s="373" t="s">
        <v>250</v>
      </c>
      <c r="C46" s="373"/>
      <c r="D46" s="492">
        <v>4</v>
      </c>
      <c r="E46" s="37" t="s">
        <v>62</v>
      </c>
      <c r="F46" s="355"/>
      <c r="G46" s="375"/>
      <c r="H46" s="33"/>
      <c r="I46" s="278">
        <v>12</v>
      </c>
      <c r="J46" s="431">
        <f>I46/'통장내역(환율표)'!$D$127</f>
        <v>1.6487834632889471</v>
      </c>
      <c r="K46" s="271">
        <f t="shared" si="2"/>
        <v>396538.97000000067</v>
      </c>
      <c r="L46" s="271">
        <f t="shared" si="3"/>
        <v>54490.800092771475</v>
      </c>
      <c r="M46" s="33"/>
      <c r="N46" s="45">
        <f t="shared" si="4"/>
        <v>10633.800062928216</v>
      </c>
    </row>
    <row r="47" spans="1:14" s="5" customFormat="1" ht="13.5" customHeight="1">
      <c r="A47" s="263">
        <v>45220</v>
      </c>
      <c r="B47" s="373" t="s">
        <v>699</v>
      </c>
      <c r="C47" s="373"/>
      <c r="D47" s="492">
        <v>5</v>
      </c>
      <c r="E47" s="37" t="s">
        <v>62</v>
      </c>
      <c r="F47" s="355"/>
      <c r="G47" s="375"/>
      <c r="H47" s="33"/>
      <c r="I47" s="278">
        <v>1174.96</v>
      </c>
      <c r="J47" s="431">
        <f>I47/'통장내역(환율표)'!$D$127</f>
        <v>161.43788483549847</v>
      </c>
      <c r="K47" s="271">
        <f t="shared" si="2"/>
        <v>395364.01000000065</v>
      </c>
      <c r="L47" s="271">
        <f t="shared" si="3"/>
        <v>54329.362207935977</v>
      </c>
      <c r="M47" s="33"/>
      <c r="N47" s="45">
        <f t="shared" si="4"/>
        <v>10472.362178092717</v>
      </c>
    </row>
    <row r="48" spans="1:14" s="5" customFormat="1" ht="13.5" customHeight="1">
      <c r="A48" s="263">
        <v>45220</v>
      </c>
      <c r="B48" s="433" t="s">
        <v>250</v>
      </c>
      <c r="C48" s="373"/>
      <c r="D48" s="492">
        <v>6</v>
      </c>
      <c r="E48" s="37" t="s">
        <v>62</v>
      </c>
      <c r="F48" s="355"/>
      <c r="G48" s="375"/>
      <c r="H48" s="33"/>
      <c r="I48" s="278">
        <v>3.6</v>
      </c>
      <c r="J48" s="431">
        <f>I48/'통장내역(환율표)'!$D$127</f>
        <v>0.49463503898668415</v>
      </c>
      <c r="K48" s="271">
        <f t="shared" si="2"/>
        <v>395360.41000000067</v>
      </c>
      <c r="L48" s="271">
        <f t="shared" si="3"/>
        <v>54328.86757289699</v>
      </c>
      <c r="M48" s="33"/>
      <c r="N48" s="45">
        <f t="shared" si="4"/>
        <v>10471.86754305373</v>
      </c>
    </row>
    <row r="49" spans="1:14" s="5" customFormat="1" ht="13.5" customHeight="1">
      <c r="A49" s="263">
        <v>45220</v>
      </c>
      <c r="B49" s="373" t="s">
        <v>240</v>
      </c>
      <c r="C49" s="373"/>
      <c r="D49" s="492">
        <v>7</v>
      </c>
      <c r="E49" s="37" t="s">
        <v>987</v>
      </c>
      <c r="F49" s="355" t="s">
        <v>319</v>
      </c>
      <c r="G49" s="375"/>
      <c r="H49" s="33"/>
      <c r="I49" s="278">
        <v>20023</v>
      </c>
      <c r="J49" s="431">
        <f>I49/'통장내역(환율표)'!$D$127</f>
        <v>2751.132607119549</v>
      </c>
      <c r="K49" s="271">
        <f t="shared" si="2"/>
        <v>375337.41000000067</v>
      </c>
      <c r="L49" s="271">
        <f t="shared" si="3"/>
        <v>51577.734965777439</v>
      </c>
      <c r="M49" s="291"/>
      <c r="N49" s="45">
        <f t="shared" si="4"/>
        <v>7720.7349359341806</v>
      </c>
    </row>
    <row r="50" spans="1:14" s="5" customFormat="1" ht="13.5" customHeight="1">
      <c r="A50" s="263">
        <v>45220</v>
      </c>
      <c r="B50" s="433" t="s">
        <v>250</v>
      </c>
      <c r="C50" s="373"/>
      <c r="D50" s="492">
        <v>8</v>
      </c>
      <c r="E50" s="37" t="s">
        <v>62</v>
      </c>
      <c r="F50" s="355"/>
      <c r="G50" s="375"/>
      <c r="H50" s="33"/>
      <c r="I50" s="278">
        <v>7.2</v>
      </c>
      <c r="J50" s="431">
        <f>I50/'통장내역(환율표)'!$D$127</f>
        <v>0.9892700779733683</v>
      </c>
      <c r="K50" s="271">
        <f t="shared" si="2"/>
        <v>375330.21000000066</v>
      </c>
      <c r="L50" s="271">
        <f t="shared" si="3"/>
        <v>51576.745695699465</v>
      </c>
      <c r="M50" s="291"/>
      <c r="N50" s="45">
        <f t="shared" si="4"/>
        <v>7719.7456658562069</v>
      </c>
    </row>
    <row r="51" spans="1:14" s="5" customFormat="1" ht="13.5" customHeight="1">
      <c r="A51" s="263">
        <v>45220</v>
      </c>
      <c r="B51" s="321" t="s">
        <v>346</v>
      </c>
      <c r="C51" s="373"/>
      <c r="D51" s="492">
        <v>9</v>
      </c>
      <c r="E51" s="37" t="s">
        <v>987</v>
      </c>
      <c r="F51" s="355" t="s">
        <v>320</v>
      </c>
      <c r="G51" s="375"/>
      <c r="H51" s="33"/>
      <c r="I51" s="278">
        <v>10500</v>
      </c>
      <c r="J51" s="431">
        <f>I51/'통장내역(환율표)'!$D$127</f>
        <v>1442.6855303778289</v>
      </c>
      <c r="K51" s="271">
        <f t="shared" si="2"/>
        <v>364830.21000000066</v>
      </c>
      <c r="L51" s="271">
        <f t="shared" si="3"/>
        <v>50134.060165321636</v>
      </c>
      <c r="M51" s="291"/>
      <c r="N51" s="45">
        <f t="shared" si="4"/>
        <v>6277.0601354783776</v>
      </c>
    </row>
    <row r="52" spans="1:14" s="5" customFormat="1" ht="13.5" customHeight="1">
      <c r="A52" s="263">
        <v>45220</v>
      </c>
      <c r="B52" s="321" t="s">
        <v>347</v>
      </c>
      <c r="C52" s="373"/>
      <c r="D52" s="492">
        <v>10</v>
      </c>
      <c r="E52" s="37" t="s">
        <v>62</v>
      </c>
      <c r="F52" s="355"/>
      <c r="G52" s="375"/>
      <c r="H52" s="33"/>
      <c r="I52" s="278">
        <v>6000</v>
      </c>
      <c r="J52" s="431">
        <f>I52/'통장내역(환율표)'!$D$127</f>
        <v>824.39173164447357</v>
      </c>
      <c r="K52" s="271">
        <f t="shared" si="2"/>
        <v>358830.21000000066</v>
      </c>
      <c r="L52" s="271">
        <f t="shared" si="3"/>
        <v>49309.668433677165</v>
      </c>
      <c r="M52" s="291"/>
      <c r="N52" s="45">
        <f t="shared" si="4"/>
        <v>5452.6684038339044</v>
      </c>
    </row>
    <row r="53" spans="1:14" s="5" customFormat="1" ht="13.5" customHeight="1">
      <c r="A53" s="263">
        <v>45220</v>
      </c>
      <c r="B53" s="321" t="s">
        <v>351</v>
      </c>
      <c r="C53" s="373"/>
      <c r="D53" s="492">
        <v>11</v>
      </c>
      <c r="E53" s="37" t="s">
        <v>62</v>
      </c>
      <c r="F53" s="355"/>
      <c r="G53" s="375"/>
      <c r="H53" s="33"/>
      <c r="I53" s="278">
        <v>650</v>
      </c>
      <c r="J53" s="431">
        <f>I53/'통장내역(환율표)'!$D$127</f>
        <v>89.309104261484634</v>
      </c>
      <c r="K53" s="271">
        <f t="shared" si="2"/>
        <v>358180.21000000066</v>
      </c>
      <c r="L53" s="271">
        <f t="shared" si="3"/>
        <v>49220.359329415682</v>
      </c>
      <c r="M53" s="291"/>
      <c r="N53" s="45">
        <f t="shared" si="4"/>
        <v>5363.3592995724202</v>
      </c>
    </row>
    <row r="54" spans="1:14" s="5" customFormat="1" ht="13.5" customHeight="1">
      <c r="A54" s="263">
        <v>45220</v>
      </c>
      <c r="B54" s="321" t="s">
        <v>250</v>
      </c>
      <c r="C54" s="373"/>
      <c r="D54" s="492">
        <v>12</v>
      </c>
      <c r="E54" s="37" t="s">
        <v>62</v>
      </c>
      <c r="F54" s="355"/>
      <c r="G54" s="375"/>
      <c r="H54" s="33"/>
      <c r="I54" s="278">
        <v>7.2</v>
      </c>
      <c r="J54" s="431">
        <f>I54/'통장내역(환율표)'!$D$127</f>
        <v>0.9892700779733683</v>
      </c>
      <c r="K54" s="271">
        <f t="shared" si="2"/>
        <v>358173.01000000065</v>
      </c>
      <c r="L54" s="271">
        <f t="shared" si="3"/>
        <v>49219.370059337707</v>
      </c>
      <c r="M54" s="291"/>
      <c r="N54" s="45">
        <f t="shared" si="4"/>
        <v>5362.3700294944465</v>
      </c>
    </row>
    <row r="55" spans="1:14" s="5" customFormat="1" ht="13.5" customHeight="1">
      <c r="A55" s="263">
        <v>45220</v>
      </c>
      <c r="B55" s="373" t="s">
        <v>700</v>
      </c>
      <c r="C55" s="373"/>
      <c r="D55" s="492">
        <v>13</v>
      </c>
      <c r="E55" s="37" t="s">
        <v>62</v>
      </c>
      <c r="F55" s="355"/>
      <c r="G55" s="375"/>
      <c r="H55" s="33"/>
      <c r="I55" s="278">
        <v>1010</v>
      </c>
      <c r="J55" s="494">
        <v>138.77000000000001</v>
      </c>
      <c r="K55" s="271">
        <f t="shared" si="2"/>
        <v>357163.01000000065</v>
      </c>
      <c r="L55" s="271">
        <f t="shared" si="3"/>
        <v>49080.60005933771</v>
      </c>
      <c r="M55" s="291"/>
      <c r="N55" s="45">
        <f t="shared" si="4"/>
        <v>5223.6000294944461</v>
      </c>
    </row>
    <row r="56" spans="1:14" s="5" customFormat="1" ht="13.5" customHeight="1">
      <c r="A56" s="263">
        <v>45220</v>
      </c>
      <c r="B56" s="321" t="s">
        <v>250</v>
      </c>
      <c r="C56" s="373"/>
      <c r="D56" s="492">
        <v>14</v>
      </c>
      <c r="E56" s="37" t="s">
        <v>62</v>
      </c>
      <c r="F56" s="355"/>
      <c r="G56" s="375"/>
      <c r="H56" s="33"/>
      <c r="I56" s="278">
        <v>3.6</v>
      </c>
      <c r="J56" s="431">
        <f>I56/'통장내역(환율표)'!$D$127</f>
        <v>0.49463503898668415</v>
      </c>
      <c r="K56" s="271">
        <f t="shared" si="2"/>
        <v>357159.41000000067</v>
      </c>
      <c r="L56" s="271">
        <f t="shared" si="3"/>
        <v>49080.105424298723</v>
      </c>
      <c r="M56" s="291"/>
      <c r="N56" s="45">
        <f t="shared" si="4"/>
        <v>5223.1053944554596</v>
      </c>
    </row>
    <row r="57" spans="1:14" s="5" customFormat="1" ht="13.5" customHeight="1">
      <c r="A57" s="263">
        <v>45220</v>
      </c>
      <c r="B57" s="343" t="s">
        <v>715</v>
      </c>
      <c r="C57" s="373"/>
      <c r="D57" s="492">
        <v>15</v>
      </c>
      <c r="E57" s="37" t="s">
        <v>294</v>
      </c>
      <c r="F57" s="355" t="s">
        <v>322</v>
      </c>
      <c r="G57" s="375"/>
      <c r="H57" s="33"/>
      <c r="I57" s="278">
        <v>2439</v>
      </c>
      <c r="J57" s="431">
        <f>I57/'통장내역(환율표)'!$D$127</f>
        <v>335.11523891347849</v>
      </c>
      <c r="K57" s="271">
        <f t="shared" si="2"/>
        <v>354720.41000000067</v>
      </c>
      <c r="L57" s="271">
        <f t="shared" si="3"/>
        <v>48744.990185385243</v>
      </c>
      <c r="M57" s="291"/>
      <c r="N57" s="45">
        <f t="shared" si="4"/>
        <v>4887.990155541981</v>
      </c>
    </row>
    <row r="58" spans="1:14" s="5" customFormat="1" ht="13.5" customHeight="1">
      <c r="A58" s="263">
        <v>45220</v>
      </c>
      <c r="B58" s="343" t="s">
        <v>714</v>
      </c>
      <c r="C58" s="373"/>
      <c r="D58" s="492">
        <v>16</v>
      </c>
      <c r="E58" s="37" t="s">
        <v>294</v>
      </c>
      <c r="F58" s="355" t="s">
        <v>322</v>
      </c>
      <c r="G58" s="375"/>
      <c r="H58" s="33"/>
      <c r="I58" s="278">
        <v>1036</v>
      </c>
      <c r="J58" s="431">
        <f>I58/'통장내역(환율표)'!$D$127</f>
        <v>142.34497233061245</v>
      </c>
      <c r="K58" s="271">
        <f t="shared" si="2"/>
        <v>353684.41000000067</v>
      </c>
      <c r="L58" s="271">
        <f t="shared" si="3"/>
        <v>48602.645213054631</v>
      </c>
      <c r="M58" s="291"/>
      <c r="N58" s="45">
        <f t="shared" si="4"/>
        <v>4745.6451832113689</v>
      </c>
    </row>
    <row r="59" spans="1:14" s="5" customFormat="1" ht="13.5" customHeight="1">
      <c r="A59" s="263">
        <v>45220</v>
      </c>
      <c r="B59" s="343" t="s">
        <v>716</v>
      </c>
      <c r="C59" s="373"/>
      <c r="D59" s="492">
        <v>17</v>
      </c>
      <c r="E59" s="37" t="s">
        <v>294</v>
      </c>
      <c r="F59" s="355" t="s">
        <v>322</v>
      </c>
      <c r="G59" s="375"/>
      <c r="H59" s="33"/>
      <c r="I59" s="278">
        <v>319</v>
      </c>
      <c r="J59" s="431">
        <f>I59/'통장내역(환율표)'!$D$127</f>
        <v>43.830160399097849</v>
      </c>
      <c r="K59" s="271">
        <f t="shared" si="2"/>
        <v>353365.41000000067</v>
      </c>
      <c r="L59" s="271">
        <f t="shared" si="3"/>
        <v>48558.815052655533</v>
      </c>
      <c r="M59" s="291"/>
      <c r="N59" s="45">
        <f t="shared" si="4"/>
        <v>4701.8150228122713</v>
      </c>
    </row>
    <row r="60" spans="1:14" s="5" customFormat="1" ht="13.5" customHeight="1">
      <c r="A60" s="263">
        <v>45220</v>
      </c>
      <c r="B60" s="321" t="s">
        <v>250</v>
      </c>
      <c r="C60" s="373"/>
      <c r="D60" s="492">
        <v>18</v>
      </c>
      <c r="E60" s="37" t="s">
        <v>62</v>
      </c>
      <c r="F60" s="355"/>
      <c r="G60" s="375"/>
      <c r="H60" s="33"/>
      <c r="I60" s="278">
        <v>3.6</v>
      </c>
      <c r="J60" s="431">
        <f>I60/'통장내역(환율표)'!$D$127</f>
        <v>0.49463503898668415</v>
      </c>
      <c r="K60" s="271">
        <f t="shared" si="2"/>
        <v>353361.8100000007</v>
      </c>
      <c r="L60" s="271">
        <f t="shared" si="3"/>
        <v>48558.320417616545</v>
      </c>
      <c r="M60" s="291"/>
      <c r="N60" s="45">
        <f t="shared" si="4"/>
        <v>4701.3203877732849</v>
      </c>
    </row>
    <row r="61" spans="1:14" s="5" customFormat="1" ht="13.5" customHeight="1">
      <c r="A61" s="263">
        <v>45220</v>
      </c>
      <c r="B61" s="373" t="s">
        <v>906</v>
      </c>
      <c r="C61" s="373"/>
      <c r="D61" s="492">
        <v>19</v>
      </c>
      <c r="E61" s="37" t="s">
        <v>294</v>
      </c>
      <c r="F61" s="355" t="s">
        <v>322</v>
      </c>
      <c r="G61" s="375"/>
      <c r="H61" s="33"/>
      <c r="I61" s="278">
        <v>1816</v>
      </c>
      <c r="J61" s="431">
        <f>I61/'통장내역(환율표)'!$D$127</f>
        <v>249.515897444394</v>
      </c>
      <c r="K61" s="271">
        <f t="shared" si="2"/>
        <v>351545.8100000007</v>
      </c>
      <c r="L61" s="271">
        <f t="shared" si="3"/>
        <v>48308.804520172154</v>
      </c>
      <c r="M61" s="291" t="s">
        <v>954</v>
      </c>
      <c r="N61" s="45">
        <f t="shared" si="4"/>
        <v>4451.804490328891</v>
      </c>
    </row>
    <row r="62" spans="1:14" s="5" customFormat="1" ht="13.5" customHeight="1">
      <c r="A62" s="263">
        <v>45220</v>
      </c>
      <c r="B62" s="373" t="s">
        <v>905</v>
      </c>
      <c r="C62" s="373"/>
      <c r="D62" s="492">
        <v>20</v>
      </c>
      <c r="E62" s="37" t="s">
        <v>294</v>
      </c>
      <c r="F62" s="355" t="s">
        <v>322</v>
      </c>
      <c r="G62" s="375"/>
      <c r="H62" s="33"/>
      <c r="I62" s="278">
        <v>2160</v>
      </c>
      <c r="J62" s="431">
        <f>I62/'통장내역(환율표)'!$D$127</f>
        <v>296.78102339201047</v>
      </c>
      <c r="K62" s="271">
        <f t="shared" si="2"/>
        <v>349385.8100000007</v>
      </c>
      <c r="L62" s="271">
        <f t="shared" si="3"/>
        <v>48012.023496780144</v>
      </c>
      <c r="M62" s="291" t="s">
        <v>954</v>
      </c>
      <c r="N62" s="45">
        <f t="shared" si="4"/>
        <v>4155.0234669368801</v>
      </c>
    </row>
    <row r="63" spans="1:14" s="5" customFormat="1" ht="13.5" customHeight="1">
      <c r="A63" s="263">
        <v>45220</v>
      </c>
      <c r="B63" s="373" t="s">
        <v>906</v>
      </c>
      <c r="C63" s="373"/>
      <c r="D63" s="492">
        <v>21</v>
      </c>
      <c r="E63" s="37" t="s">
        <v>294</v>
      </c>
      <c r="F63" s="355" t="s">
        <v>322</v>
      </c>
      <c r="G63" s="375"/>
      <c r="H63" s="33"/>
      <c r="I63" s="278">
        <v>3825</v>
      </c>
      <c r="J63" s="431">
        <f>I63/'통장내역(환율표)'!$D$127</f>
        <v>525.54972892335195</v>
      </c>
      <c r="K63" s="271">
        <f t="shared" si="2"/>
        <v>345560.8100000007</v>
      </c>
      <c r="L63" s="271">
        <f t="shared" si="3"/>
        <v>47486.473767856791</v>
      </c>
      <c r="M63" s="291" t="s">
        <v>955</v>
      </c>
      <c r="N63" s="45">
        <f t="shared" si="4"/>
        <v>3629.4737380135284</v>
      </c>
    </row>
    <row r="64" spans="1:14" s="5" customFormat="1" ht="13.5" customHeight="1">
      <c r="A64" s="263">
        <v>45220</v>
      </c>
      <c r="B64" s="373" t="s">
        <v>905</v>
      </c>
      <c r="C64" s="373"/>
      <c r="D64" s="492">
        <v>22</v>
      </c>
      <c r="E64" s="37" t="s">
        <v>294</v>
      </c>
      <c r="F64" s="355" t="s">
        <v>322</v>
      </c>
      <c r="G64" s="375"/>
      <c r="H64" s="33"/>
      <c r="I64" s="278">
        <v>600</v>
      </c>
      <c r="J64" s="431">
        <f>I64/'통장내역(환율표)'!$D$127</f>
        <v>82.439173164447354</v>
      </c>
      <c r="K64" s="271">
        <f t="shared" si="2"/>
        <v>344960.8100000007</v>
      </c>
      <c r="L64" s="271">
        <f t="shared" si="3"/>
        <v>47404.034594692341</v>
      </c>
      <c r="M64" s="291" t="s">
        <v>955</v>
      </c>
      <c r="N64" s="45">
        <f t="shared" si="4"/>
        <v>3547.0345648490811</v>
      </c>
    </row>
    <row r="65" spans="1:14" s="5" customFormat="1" ht="13.5" customHeight="1">
      <c r="A65" s="263">
        <v>45220</v>
      </c>
      <c r="B65" s="373" t="s">
        <v>852</v>
      </c>
      <c r="C65" s="373"/>
      <c r="D65" s="492">
        <v>23</v>
      </c>
      <c r="E65" s="37" t="s">
        <v>62</v>
      </c>
      <c r="F65" s="355"/>
      <c r="G65" s="375"/>
      <c r="H65" s="33"/>
      <c r="I65" s="278">
        <v>43.2</v>
      </c>
      <c r="J65" s="431">
        <f>I65/'통장내역(환율표)'!$D$127</f>
        <v>5.9356204678402102</v>
      </c>
      <c r="K65" s="271">
        <f t="shared" si="2"/>
        <v>344917.61000000068</v>
      </c>
      <c r="L65" s="271">
        <f t="shared" si="3"/>
        <v>47398.0989742245</v>
      </c>
      <c r="M65" s="291"/>
      <c r="N65" s="45">
        <f t="shared" si="4"/>
        <v>3541.0989443812409</v>
      </c>
    </row>
    <row r="66" spans="1:14" s="5" customFormat="1" ht="13.5" customHeight="1">
      <c r="A66" s="263">
        <v>45220</v>
      </c>
      <c r="B66" s="373" t="s">
        <v>851</v>
      </c>
      <c r="C66" s="373"/>
      <c r="D66" s="492">
        <v>24</v>
      </c>
      <c r="E66" s="355" t="s">
        <v>296</v>
      </c>
      <c r="F66" s="355" t="s">
        <v>327</v>
      </c>
      <c r="G66" s="375"/>
      <c r="H66" s="33"/>
      <c r="I66" s="278">
        <v>98.7</v>
      </c>
      <c r="J66" s="431">
        <f>I66/'통장내역(환율표)'!$D$127</f>
        <v>13.561243985551592</v>
      </c>
      <c r="K66" s="271">
        <f t="shared" si="2"/>
        <v>344818.91000000067</v>
      </c>
      <c r="L66" s="271">
        <f t="shared" si="3"/>
        <v>47384.537730238946</v>
      </c>
      <c r="M66" s="291"/>
      <c r="N66" s="45">
        <f t="shared" si="4"/>
        <v>3527.5377003956892</v>
      </c>
    </row>
    <row r="67" spans="1:14" s="5" customFormat="1" ht="13.5" customHeight="1">
      <c r="A67" s="263">
        <v>45220</v>
      </c>
      <c r="B67" s="373" t="s">
        <v>853</v>
      </c>
      <c r="C67" s="373"/>
      <c r="D67" s="492">
        <v>25</v>
      </c>
      <c r="E67" s="355" t="s">
        <v>294</v>
      </c>
      <c r="F67" s="355" t="s">
        <v>322</v>
      </c>
      <c r="G67" s="375"/>
      <c r="H67" s="33"/>
      <c r="I67" s="278">
        <v>2672.09</v>
      </c>
      <c r="J67" s="431">
        <f>I67/'통장내역(환율표)'!$D$127</f>
        <v>367.14148370164691</v>
      </c>
      <c r="K67" s="271">
        <f t="shared" si="2"/>
        <v>342146.82000000065</v>
      </c>
      <c r="L67" s="271">
        <f t="shared" si="3"/>
        <v>47017.396246537297</v>
      </c>
      <c r="M67" s="291"/>
      <c r="N67" s="45">
        <f t="shared" si="4"/>
        <v>3160.3962166940423</v>
      </c>
    </row>
    <row r="68" spans="1:14" s="5" customFormat="1" ht="13.5" customHeight="1">
      <c r="A68" s="263">
        <v>45220</v>
      </c>
      <c r="B68" s="321" t="s">
        <v>250</v>
      </c>
      <c r="C68" s="373"/>
      <c r="D68" s="492">
        <v>26</v>
      </c>
      <c r="E68" s="355" t="s">
        <v>62</v>
      </c>
      <c r="F68" s="355"/>
      <c r="G68" s="375"/>
      <c r="H68" s="33"/>
      <c r="I68" s="278">
        <v>7.2</v>
      </c>
      <c r="J68" s="431">
        <f>I68/'통장내역(환율표)'!$D$127</f>
        <v>0.9892700779733683</v>
      </c>
      <c r="K68" s="271">
        <f t="shared" si="2"/>
        <v>342139.62000000064</v>
      </c>
      <c r="L68" s="271">
        <f t="shared" si="3"/>
        <v>47016.406976459322</v>
      </c>
      <c r="M68" s="291"/>
      <c r="N68" s="45">
        <f t="shared" si="4"/>
        <v>3159.406946616069</v>
      </c>
    </row>
    <row r="69" spans="1:14" s="5" customFormat="1" ht="13.5" customHeight="1">
      <c r="A69" s="263">
        <v>45220</v>
      </c>
      <c r="B69" s="373" t="s">
        <v>956</v>
      </c>
      <c r="C69" s="373"/>
      <c r="D69" s="492">
        <v>27</v>
      </c>
      <c r="E69" s="355" t="s">
        <v>294</v>
      </c>
      <c r="F69" s="355" t="s">
        <v>322</v>
      </c>
      <c r="G69" s="375"/>
      <c r="H69" s="33"/>
      <c r="I69" s="278">
        <v>1944</v>
      </c>
      <c r="J69" s="431">
        <f>I69/'통장내역(환율표)'!$D$127</f>
        <v>267.10292105280945</v>
      </c>
      <c r="K69" s="271">
        <f t="shared" si="2"/>
        <v>340195.62000000064</v>
      </c>
      <c r="L69" s="271">
        <f t="shared" si="3"/>
        <v>46749.304055406516</v>
      </c>
      <c r="M69" s="291"/>
      <c r="N69" s="45">
        <f t="shared" si="4"/>
        <v>2892.3040255632595</v>
      </c>
    </row>
    <row r="70" spans="1:14" s="5" customFormat="1" ht="13.5" customHeight="1">
      <c r="A70" s="263">
        <v>45220</v>
      </c>
      <c r="B70" s="373" t="s">
        <v>957</v>
      </c>
      <c r="C70" s="373"/>
      <c r="D70" s="492">
        <v>28</v>
      </c>
      <c r="E70" s="355" t="s">
        <v>294</v>
      </c>
      <c r="F70" s="355" t="s">
        <v>322</v>
      </c>
      <c r="G70" s="375"/>
      <c r="H70" s="33"/>
      <c r="I70" s="278">
        <v>1397</v>
      </c>
      <c r="J70" s="431">
        <f>I70/'통장내역(환율표)'!$D$127</f>
        <v>191.94587485122159</v>
      </c>
      <c r="K70" s="271">
        <f t="shared" si="2"/>
        <v>338798.62000000064</v>
      </c>
      <c r="L70" s="271">
        <f t="shared" si="3"/>
        <v>46557.358180555297</v>
      </c>
      <c r="M70" s="291"/>
      <c r="N70" s="45">
        <f t="shared" si="4"/>
        <v>2700.358150712038</v>
      </c>
    </row>
    <row r="71" spans="1:14" s="5" customFormat="1" ht="13.5" customHeight="1">
      <c r="A71" s="263">
        <v>45220</v>
      </c>
      <c r="B71" s="373" t="s">
        <v>958</v>
      </c>
      <c r="C71" s="373"/>
      <c r="D71" s="492">
        <v>29</v>
      </c>
      <c r="E71" s="355" t="s">
        <v>294</v>
      </c>
      <c r="F71" s="355" t="s">
        <v>322</v>
      </c>
      <c r="G71" s="375"/>
      <c r="H71" s="33"/>
      <c r="I71" s="278">
        <v>875.76</v>
      </c>
      <c r="J71" s="431">
        <f>I71/'통장내역(환율표)'!$D$127</f>
        <v>120.32821715082737</v>
      </c>
      <c r="K71" s="271">
        <f t="shared" si="2"/>
        <v>337922.86000000063</v>
      </c>
      <c r="L71" s="271">
        <f t="shared" si="3"/>
        <v>46437.029963404471</v>
      </c>
      <c r="M71" s="291"/>
      <c r="N71" s="45">
        <f t="shared" si="4"/>
        <v>2580.0299335612108</v>
      </c>
    </row>
    <row r="72" spans="1:14" s="5" customFormat="1" ht="13.5" customHeight="1">
      <c r="A72" s="263">
        <v>45220</v>
      </c>
      <c r="B72" s="321" t="s">
        <v>250</v>
      </c>
      <c r="C72" s="373"/>
      <c r="D72" s="492">
        <v>30</v>
      </c>
      <c r="E72" s="355" t="s">
        <v>62</v>
      </c>
      <c r="F72" s="355"/>
      <c r="G72" s="375"/>
      <c r="H72" s="33"/>
      <c r="I72" s="278">
        <v>3.6</v>
      </c>
      <c r="J72" s="431">
        <f>I72/'통장내역(환율표)'!$D$127</f>
        <v>0.49463503898668415</v>
      </c>
      <c r="K72" s="271">
        <f t="shared" si="2"/>
        <v>337919.26000000065</v>
      </c>
      <c r="L72" s="271">
        <f t="shared" si="3"/>
        <v>46436.535328365484</v>
      </c>
      <c r="M72" s="291"/>
      <c r="N72" s="45">
        <f t="shared" si="4"/>
        <v>2579.5352985222239</v>
      </c>
    </row>
    <row r="73" spans="1:14" s="5" customFormat="1" ht="13.5" customHeight="1">
      <c r="A73" s="263">
        <v>45220</v>
      </c>
      <c r="B73" s="373" t="s">
        <v>959</v>
      </c>
      <c r="C73" s="373"/>
      <c r="D73" s="492">
        <v>31</v>
      </c>
      <c r="E73" s="355" t="s">
        <v>294</v>
      </c>
      <c r="F73" s="355" t="s">
        <v>322</v>
      </c>
      <c r="G73" s="375"/>
      <c r="H73" s="33"/>
      <c r="I73" s="278">
        <v>6124.59</v>
      </c>
      <c r="J73" s="431">
        <f>I73/'통장내역(환율표)'!$D$127</f>
        <v>841.5102259520711</v>
      </c>
      <c r="K73" s="271">
        <f t="shared" si="2"/>
        <v>331794.67000000062</v>
      </c>
      <c r="L73" s="271">
        <f t="shared" si="3"/>
        <v>45595.025102413412</v>
      </c>
      <c r="M73" s="291"/>
      <c r="N73" s="45">
        <f t="shared" si="4"/>
        <v>1738.0250725701528</v>
      </c>
    </row>
    <row r="74" spans="1:14" s="5" customFormat="1" ht="13.5" customHeight="1">
      <c r="A74" s="263">
        <v>45220</v>
      </c>
      <c r="B74" s="373" t="s">
        <v>960</v>
      </c>
      <c r="C74" s="373"/>
      <c r="D74" s="492">
        <v>32</v>
      </c>
      <c r="E74" s="355" t="s">
        <v>62</v>
      </c>
      <c r="F74" s="355"/>
      <c r="G74" s="375"/>
      <c r="H74" s="33"/>
      <c r="I74" s="278">
        <v>863</v>
      </c>
      <c r="J74" s="431">
        <f>I74/'통장내역(환율표)'!$D$127</f>
        <v>118.57501073486345</v>
      </c>
      <c r="K74" s="271">
        <f t="shared" si="2"/>
        <v>330931.67000000062</v>
      </c>
      <c r="L74" s="271">
        <f t="shared" si="3"/>
        <v>45476.450091678547</v>
      </c>
      <c r="M74" s="291"/>
      <c r="N74" s="45">
        <f t="shared" si="4"/>
        <v>1619.4500618352893</v>
      </c>
    </row>
    <row r="75" spans="1:14" s="5" customFormat="1" ht="13.5" customHeight="1">
      <c r="A75" s="263">
        <v>45220</v>
      </c>
      <c r="B75" s="373" t="s">
        <v>961</v>
      </c>
      <c r="C75" s="373"/>
      <c r="D75" s="492">
        <v>33</v>
      </c>
      <c r="E75" s="355" t="s">
        <v>238</v>
      </c>
      <c r="F75" s="355" t="s">
        <v>324</v>
      </c>
      <c r="G75" s="375"/>
      <c r="H75" s="33"/>
      <c r="I75" s="278">
        <v>1377</v>
      </c>
      <c r="J75" s="431">
        <f>I75/'통장내역(환율표)'!$D$127</f>
        <v>189.19790241240668</v>
      </c>
      <c r="K75" s="271">
        <f t="shared" si="2"/>
        <v>329554.67000000062</v>
      </c>
      <c r="L75" s="271">
        <f t="shared" si="3"/>
        <v>45287.252189266139</v>
      </c>
      <c r="M75" s="291"/>
      <c r="N75" s="45">
        <f t="shared" si="4"/>
        <v>1430.2521594228826</v>
      </c>
    </row>
    <row r="76" spans="1:14" s="5" customFormat="1" ht="13.5" customHeight="1">
      <c r="A76" s="263">
        <v>45220</v>
      </c>
      <c r="B76" s="373" t="s">
        <v>962</v>
      </c>
      <c r="C76" s="373"/>
      <c r="D76" s="492">
        <v>34</v>
      </c>
      <c r="E76" s="355" t="s">
        <v>294</v>
      </c>
      <c r="F76" s="355" t="s">
        <v>322</v>
      </c>
      <c r="G76" s="375"/>
      <c r="H76" s="33"/>
      <c r="I76" s="278">
        <v>662.29</v>
      </c>
      <c r="J76" s="431">
        <f>I76/'통장내역(환율표)'!$D$127</f>
        <v>90.997733325136394</v>
      </c>
      <c r="K76" s="271">
        <f t="shared" si="2"/>
        <v>328892.38000000064</v>
      </c>
      <c r="L76" s="271">
        <f t="shared" si="3"/>
        <v>45196.254455941002</v>
      </c>
      <c r="M76" s="291"/>
      <c r="N76" s="45">
        <f t="shared" si="4"/>
        <v>1339.2544260977463</v>
      </c>
    </row>
    <row r="77" spans="1:14" s="5" customFormat="1" ht="13.5" customHeight="1">
      <c r="A77" s="263">
        <v>45220</v>
      </c>
      <c r="B77" s="373" t="s">
        <v>250</v>
      </c>
      <c r="C77" s="373"/>
      <c r="D77" s="492">
        <v>35</v>
      </c>
      <c r="E77" s="355" t="s">
        <v>62</v>
      </c>
      <c r="F77" s="355"/>
      <c r="G77" s="375"/>
      <c r="H77" s="33"/>
      <c r="I77" s="278">
        <v>3.6</v>
      </c>
      <c r="J77" s="431">
        <f>I77/'통장내역(환율표)'!$D$127</f>
        <v>0.49463503898668415</v>
      </c>
      <c r="K77" s="271">
        <f t="shared" si="2"/>
        <v>328888.78000000067</v>
      </c>
      <c r="L77" s="271">
        <f t="shared" si="3"/>
        <v>45195.759820902014</v>
      </c>
      <c r="M77" s="291"/>
      <c r="N77" s="45">
        <f t="shared" si="4"/>
        <v>1338.7597910587597</v>
      </c>
    </row>
    <row r="78" spans="1:14" s="5" customFormat="1" ht="13.5" customHeight="1">
      <c r="A78" s="263">
        <v>45220</v>
      </c>
      <c r="B78" s="373" t="s">
        <v>941</v>
      </c>
      <c r="C78" s="373"/>
      <c r="D78" s="492">
        <v>36</v>
      </c>
      <c r="E78" s="355" t="s">
        <v>294</v>
      </c>
      <c r="F78" s="355" t="s">
        <v>322</v>
      </c>
      <c r="G78" s="375"/>
      <c r="H78" s="33"/>
      <c r="I78" s="278">
        <v>9519</v>
      </c>
      <c r="J78" s="431">
        <f>I78/'통장내역(환율표)'!$D$127</f>
        <v>1307.8974822539574</v>
      </c>
      <c r="K78" s="271">
        <f t="shared" si="2"/>
        <v>319369.78000000067</v>
      </c>
      <c r="L78" s="271">
        <f t="shared" si="3"/>
        <v>43887.862338648054</v>
      </c>
      <c r="M78" s="291"/>
      <c r="N78" s="45">
        <f t="shared" si="4"/>
        <v>30.862308804802296</v>
      </c>
    </row>
    <row r="79" spans="1:14" s="5" customFormat="1" ht="13.5" customHeight="1">
      <c r="A79" s="263">
        <v>45220</v>
      </c>
      <c r="B79" s="373" t="s">
        <v>250</v>
      </c>
      <c r="C79" s="373"/>
      <c r="D79" s="492">
        <v>37</v>
      </c>
      <c r="E79" s="355" t="s">
        <v>62</v>
      </c>
      <c r="F79" s="355"/>
      <c r="G79" s="375"/>
      <c r="H79" s="33"/>
      <c r="I79" s="278">
        <v>3.6</v>
      </c>
      <c r="J79" s="431">
        <f>I79/'통장내역(환율표)'!$D$127</f>
        <v>0.49463503898668415</v>
      </c>
      <c r="K79" s="271">
        <f t="shared" si="2"/>
        <v>319366.18000000069</v>
      </c>
      <c r="L79" s="271">
        <f t="shared" si="3"/>
        <v>43887.367703609067</v>
      </c>
      <c r="M79" s="291"/>
      <c r="N79" s="45">
        <f t="shared" si="4"/>
        <v>30.367673765815614</v>
      </c>
    </row>
    <row r="80" spans="1:14" s="5" customFormat="1" ht="13.5" customHeight="1">
      <c r="A80" s="481">
        <v>45220</v>
      </c>
      <c r="B80" s="482" t="s">
        <v>983</v>
      </c>
      <c r="C80" s="482"/>
      <c r="D80" s="378">
        <v>38</v>
      </c>
      <c r="E80" s="383" t="s">
        <v>294</v>
      </c>
      <c r="F80" s="383" t="s">
        <v>322</v>
      </c>
      <c r="G80" s="483"/>
      <c r="H80" s="189"/>
      <c r="I80" s="196">
        <f>J80*'통장내역(환율표)'!$D$127</f>
        <v>221.0187652312259</v>
      </c>
      <c r="J80" s="431">
        <v>30.367673765815614</v>
      </c>
      <c r="K80" s="380">
        <f t="shared" si="2"/>
        <v>319145.16123476945</v>
      </c>
      <c r="L80" s="380">
        <f t="shared" si="3"/>
        <v>43857.00002984325</v>
      </c>
      <c r="M80" s="484"/>
      <c r="N80" s="45">
        <f t="shared" si="4"/>
        <v>0</v>
      </c>
    </row>
    <row r="81" spans="1:14" s="5" customFormat="1" ht="13.5" customHeight="1">
      <c r="A81" s="481">
        <v>45220</v>
      </c>
      <c r="B81" s="482" t="s">
        <v>984</v>
      </c>
      <c r="C81" s="482"/>
      <c r="D81" s="378">
        <v>38</v>
      </c>
      <c r="E81" s="383" t="s">
        <v>294</v>
      </c>
      <c r="F81" s="383" t="s">
        <v>322</v>
      </c>
      <c r="G81" s="483"/>
      <c r="H81" s="189"/>
      <c r="I81" s="196">
        <f>6033.81-I80</f>
        <v>5812.7912347687743</v>
      </c>
      <c r="J81" s="354">
        <f>I81/'통장내역(환율표)'!$D$132</f>
        <v>798.79503485922658</v>
      </c>
      <c r="K81" s="380">
        <f t="shared" si="2"/>
        <v>313332.37000000069</v>
      </c>
      <c r="L81" s="380">
        <f t="shared" si="3"/>
        <v>43058.204994984022</v>
      </c>
      <c r="M81" s="484"/>
      <c r="N81" s="45">
        <f>43857-J81</f>
        <v>43058.204965140772</v>
      </c>
    </row>
    <row r="82" spans="1:14" s="5" customFormat="1" ht="13.5" customHeight="1">
      <c r="A82" s="263">
        <v>45220</v>
      </c>
      <c r="B82" s="373" t="s">
        <v>250</v>
      </c>
      <c r="C82" s="373"/>
      <c r="D82" s="492">
        <v>39</v>
      </c>
      <c r="E82" s="355" t="s">
        <v>62</v>
      </c>
      <c r="F82" s="355"/>
      <c r="G82" s="375"/>
      <c r="H82" s="33"/>
      <c r="I82" s="278">
        <v>3.6</v>
      </c>
      <c r="J82" s="354">
        <f>I82/'통장내역(환율표)'!$D$132</f>
        <v>0.49471278243964079</v>
      </c>
      <c r="K82" s="271">
        <f t="shared" si="2"/>
        <v>313328.77000000072</v>
      </c>
      <c r="L82" s="271">
        <f t="shared" si="3"/>
        <v>43057.71028220158</v>
      </c>
      <c r="M82" s="291"/>
      <c r="N82" s="45">
        <f>N81-J82</f>
        <v>43057.710252358331</v>
      </c>
    </row>
    <row r="83" spans="1:14" s="5" customFormat="1" ht="13.5" customHeight="1">
      <c r="A83" s="263">
        <v>45220</v>
      </c>
      <c r="B83" s="373" t="s">
        <v>942</v>
      </c>
      <c r="C83" s="373"/>
      <c r="D83" s="492">
        <v>40</v>
      </c>
      <c r="E83" s="355" t="s">
        <v>238</v>
      </c>
      <c r="F83" s="355" t="s">
        <v>324</v>
      </c>
      <c r="G83" s="375"/>
      <c r="H83" s="33"/>
      <c r="I83" s="278">
        <v>1341</v>
      </c>
      <c r="J83" s="354">
        <f>I83/'통장내역(환율표)'!$D$132</f>
        <v>184.2805114587662</v>
      </c>
      <c r="K83" s="271">
        <f t="shared" si="2"/>
        <v>311987.77000000072</v>
      </c>
      <c r="L83" s="271">
        <f t="shared" si="3"/>
        <v>42873.429770742812</v>
      </c>
      <c r="M83" s="291"/>
      <c r="N83" s="45">
        <f t="shared" ref="N83:N99" si="5">N82-J83</f>
        <v>42873.429740899563</v>
      </c>
    </row>
    <row r="84" spans="1:14" s="5" customFormat="1" ht="13.5" customHeight="1">
      <c r="A84" s="263">
        <v>45220</v>
      </c>
      <c r="B84" s="373" t="s">
        <v>250</v>
      </c>
      <c r="C84" s="373"/>
      <c r="D84" s="492">
        <v>41</v>
      </c>
      <c r="E84" s="355" t="s">
        <v>62</v>
      </c>
      <c r="F84" s="355"/>
      <c r="G84" s="375"/>
      <c r="H84" s="33"/>
      <c r="I84" s="278">
        <v>3.6</v>
      </c>
      <c r="J84" s="354">
        <f>I84/'통장내역(환율표)'!$D$132</f>
        <v>0.49471278243964079</v>
      </c>
      <c r="K84" s="271">
        <f t="shared" si="2"/>
        <v>311984.17000000074</v>
      </c>
      <c r="L84" s="271">
        <f t="shared" si="3"/>
        <v>42872.935057960371</v>
      </c>
      <c r="M84" s="291"/>
      <c r="N84" s="45">
        <f t="shared" si="5"/>
        <v>42872.935028117121</v>
      </c>
    </row>
    <row r="85" spans="1:14" s="5" customFormat="1" ht="13.5" customHeight="1">
      <c r="A85" s="263">
        <v>45220</v>
      </c>
      <c r="B85" s="373" t="s">
        <v>943</v>
      </c>
      <c r="C85" s="373"/>
      <c r="D85" s="492">
        <v>42</v>
      </c>
      <c r="E85" s="355" t="s">
        <v>294</v>
      </c>
      <c r="F85" s="355" t="s">
        <v>322</v>
      </c>
      <c r="G85" s="375"/>
      <c r="H85" s="33"/>
      <c r="I85" s="278">
        <v>154.63</v>
      </c>
      <c r="J85" s="354">
        <f>I85/'통장내역(환율표)'!$D$132</f>
        <v>21.249288207956013</v>
      </c>
      <c r="K85" s="271">
        <f t="shared" ref="K85:K99" si="6">K84+G85-I85</f>
        <v>311829.54000000074</v>
      </c>
      <c r="L85" s="271">
        <f t="shared" ref="L85:L99" si="7">L84+H85-J85</f>
        <v>42851.685769752417</v>
      </c>
      <c r="M85" s="291"/>
      <c r="N85" s="45">
        <f t="shared" si="5"/>
        <v>42851.685739909168</v>
      </c>
    </row>
    <row r="86" spans="1:14" s="5" customFormat="1" ht="13.5" customHeight="1">
      <c r="A86" s="263">
        <v>45220</v>
      </c>
      <c r="B86" s="373" t="s">
        <v>250</v>
      </c>
      <c r="C86" s="373"/>
      <c r="D86" s="492">
        <v>43</v>
      </c>
      <c r="E86" s="355" t="s">
        <v>62</v>
      </c>
      <c r="F86" s="355"/>
      <c r="G86" s="375"/>
      <c r="H86" s="33"/>
      <c r="I86" s="278">
        <v>3.6</v>
      </c>
      <c r="J86" s="354">
        <f>I86/'통장내역(환율표)'!$D$132</f>
        <v>0.49471278243964079</v>
      </c>
      <c r="K86" s="271">
        <f t="shared" si="6"/>
        <v>311825.94000000076</v>
      </c>
      <c r="L86" s="271">
        <f t="shared" si="7"/>
        <v>42851.191056969976</v>
      </c>
      <c r="M86" s="291"/>
      <c r="N86" s="45">
        <f t="shared" si="5"/>
        <v>42851.191027126726</v>
      </c>
    </row>
    <row r="87" spans="1:14" s="5" customFormat="1" ht="13.5" customHeight="1">
      <c r="A87" s="263">
        <v>45220</v>
      </c>
      <c r="B87" s="373" t="s">
        <v>944</v>
      </c>
      <c r="C87" s="373"/>
      <c r="D87" s="492">
        <v>44</v>
      </c>
      <c r="E87" s="355" t="s">
        <v>296</v>
      </c>
      <c r="F87" s="355" t="s">
        <v>327</v>
      </c>
      <c r="G87" s="271"/>
      <c r="H87" s="271"/>
      <c r="I87" s="278">
        <v>300</v>
      </c>
      <c r="J87" s="354">
        <f>I87/'통장내역(환율표)'!$D$132</f>
        <v>41.226065203303399</v>
      </c>
      <c r="K87" s="271">
        <f t="shared" si="6"/>
        <v>311525.94000000076</v>
      </c>
      <c r="L87" s="271">
        <f t="shared" si="7"/>
        <v>42809.964991766676</v>
      </c>
      <c r="M87" s="355"/>
      <c r="N87" s="45">
        <f t="shared" si="5"/>
        <v>42809.964961923426</v>
      </c>
    </row>
    <row r="88" spans="1:14" s="5" customFormat="1" ht="13.5" customHeight="1">
      <c r="A88" s="263">
        <v>45220</v>
      </c>
      <c r="B88" s="373" t="s">
        <v>250</v>
      </c>
      <c r="C88" s="373"/>
      <c r="D88" s="492">
        <v>45</v>
      </c>
      <c r="E88" s="355" t="s">
        <v>62</v>
      </c>
      <c r="F88" s="355"/>
      <c r="G88" s="271"/>
      <c r="H88" s="271"/>
      <c r="I88" s="278">
        <v>3.6</v>
      </c>
      <c r="J88" s="354">
        <f>I88/'통장내역(환율표)'!$D$132</f>
        <v>0.49471278243964079</v>
      </c>
      <c r="K88" s="271">
        <f t="shared" si="6"/>
        <v>311522.34000000078</v>
      </c>
      <c r="L88" s="271">
        <f t="shared" si="7"/>
        <v>42809.470278984234</v>
      </c>
      <c r="M88" s="355"/>
      <c r="N88" s="45">
        <f t="shared" si="5"/>
        <v>42809.470249140984</v>
      </c>
    </row>
    <row r="89" spans="1:14" s="5" customFormat="1" ht="13.5" customHeight="1">
      <c r="A89" s="263">
        <v>45220</v>
      </c>
      <c r="B89" s="373" t="s">
        <v>708</v>
      </c>
      <c r="C89" s="373"/>
      <c r="D89" s="492">
        <v>46</v>
      </c>
      <c r="E89" s="355" t="s">
        <v>238</v>
      </c>
      <c r="F89" s="355" t="s">
        <v>324</v>
      </c>
      <c r="G89" s="271"/>
      <c r="H89" s="271"/>
      <c r="I89" s="278">
        <v>3970.73</v>
      </c>
      <c r="J89" s="354">
        <f>I89/'통장내역(환율표)'!$D$132</f>
        <v>545.65857961570964</v>
      </c>
      <c r="K89" s="271">
        <f t="shared" si="6"/>
        <v>307551.6100000008</v>
      </c>
      <c r="L89" s="271">
        <f t="shared" si="7"/>
        <v>42263.811699368525</v>
      </c>
      <c r="M89" s="355" t="s">
        <v>963</v>
      </c>
      <c r="N89" s="45">
        <f t="shared" si="5"/>
        <v>42263.811669525276</v>
      </c>
    </row>
    <row r="90" spans="1:14" s="5" customFormat="1" ht="13.5" customHeight="1">
      <c r="A90" s="263">
        <v>45220</v>
      </c>
      <c r="B90" s="373" t="s">
        <v>250</v>
      </c>
      <c r="C90" s="373"/>
      <c r="D90" s="492">
        <v>47</v>
      </c>
      <c r="E90" s="355" t="s">
        <v>62</v>
      </c>
      <c r="F90" s="355"/>
      <c r="G90" s="271"/>
      <c r="H90" s="271"/>
      <c r="I90" s="278">
        <v>3.6</v>
      </c>
      <c r="J90" s="354">
        <f>I90/'통장내역(환율표)'!$D$132</f>
        <v>0.49471278243964079</v>
      </c>
      <c r="K90" s="271">
        <f t="shared" si="6"/>
        <v>307548.01000000082</v>
      </c>
      <c r="L90" s="271">
        <f t="shared" si="7"/>
        <v>42263.316986586084</v>
      </c>
      <c r="M90" s="355"/>
      <c r="N90" s="45">
        <f t="shared" si="5"/>
        <v>42263.316956742834</v>
      </c>
    </row>
    <row r="91" spans="1:14" s="5" customFormat="1" ht="13.5" customHeight="1">
      <c r="A91" s="263">
        <v>45220</v>
      </c>
      <c r="B91" s="373" t="s">
        <v>855</v>
      </c>
      <c r="C91" s="373"/>
      <c r="D91" s="492">
        <v>48</v>
      </c>
      <c r="E91" s="355" t="s">
        <v>296</v>
      </c>
      <c r="F91" s="355" t="s">
        <v>327</v>
      </c>
      <c r="G91" s="271"/>
      <c r="H91" s="271"/>
      <c r="I91" s="278">
        <v>398.08</v>
      </c>
      <c r="J91" s="354">
        <f>I91/'통장내역(환율표)'!$D$132</f>
        <v>54.704240120436722</v>
      </c>
      <c r="K91" s="271">
        <f t="shared" si="6"/>
        <v>307149.93000000081</v>
      </c>
      <c r="L91" s="271">
        <f t="shared" si="7"/>
        <v>42208.612746465646</v>
      </c>
      <c r="M91" s="355"/>
      <c r="N91" s="45">
        <f t="shared" si="5"/>
        <v>42208.612716622396</v>
      </c>
    </row>
    <row r="92" spans="1:14" s="5" customFormat="1" ht="13.5" customHeight="1">
      <c r="A92" s="263">
        <v>45220</v>
      </c>
      <c r="B92" s="373" t="s">
        <v>854</v>
      </c>
      <c r="C92" s="373"/>
      <c r="D92" s="492">
        <v>49</v>
      </c>
      <c r="E92" s="355" t="s">
        <v>296</v>
      </c>
      <c r="F92" s="355" t="s">
        <v>327</v>
      </c>
      <c r="G92" s="271"/>
      <c r="H92" s="271"/>
      <c r="I92" s="278">
        <v>499</v>
      </c>
      <c r="J92" s="354">
        <f>I92/'통장내역(환율표)'!$D$132</f>
        <v>68.572688454827983</v>
      </c>
      <c r="K92" s="271">
        <f t="shared" si="6"/>
        <v>306650.93000000081</v>
      </c>
      <c r="L92" s="271">
        <f t="shared" si="7"/>
        <v>42140.040058010818</v>
      </c>
      <c r="M92" s="355"/>
      <c r="N92" s="45">
        <f t="shared" si="5"/>
        <v>42140.040028167568</v>
      </c>
    </row>
    <row r="93" spans="1:14" s="5" customFormat="1" ht="13.5" customHeight="1">
      <c r="A93" s="263">
        <v>45220</v>
      </c>
      <c r="B93" s="321" t="s">
        <v>250</v>
      </c>
      <c r="C93" s="373"/>
      <c r="D93" s="492">
        <v>50</v>
      </c>
      <c r="E93" s="355" t="s">
        <v>62</v>
      </c>
      <c r="F93" s="355"/>
      <c r="G93" s="271"/>
      <c r="H93" s="271"/>
      <c r="I93" s="278">
        <v>3.6</v>
      </c>
      <c r="J93" s="354">
        <f>I93/'통장내역(환율표)'!$D$132</f>
        <v>0.49471278243964079</v>
      </c>
      <c r="K93" s="271">
        <f t="shared" si="6"/>
        <v>306647.33000000083</v>
      </c>
      <c r="L93" s="271">
        <f t="shared" si="7"/>
        <v>42139.545345228376</v>
      </c>
      <c r="M93" s="355"/>
      <c r="N93" s="45">
        <f t="shared" si="5"/>
        <v>42139.545315385127</v>
      </c>
    </row>
    <row r="94" spans="1:14" s="5" customFormat="1" ht="13.5" customHeight="1">
      <c r="A94" s="263">
        <v>45220</v>
      </c>
      <c r="B94" s="373" t="s">
        <v>945</v>
      </c>
      <c r="C94" s="373"/>
      <c r="D94" s="492">
        <v>51</v>
      </c>
      <c r="E94" s="355" t="s">
        <v>62</v>
      </c>
      <c r="F94" s="355"/>
      <c r="G94" s="271"/>
      <c r="H94" s="271"/>
      <c r="I94" s="278">
        <v>698.9</v>
      </c>
      <c r="J94" s="354">
        <f>I94/'통장내역(환율표)'!$D$132</f>
        <v>96.042989901962486</v>
      </c>
      <c r="K94" s="271">
        <f t="shared" si="6"/>
        <v>305948.43000000081</v>
      </c>
      <c r="L94" s="271">
        <f t="shared" si="7"/>
        <v>42043.502355326411</v>
      </c>
      <c r="M94" s="355"/>
      <c r="N94" s="45">
        <f t="shared" si="5"/>
        <v>42043.502325483161</v>
      </c>
    </row>
    <row r="95" spans="1:14" s="5" customFormat="1" ht="13.5" customHeight="1">
      <c r="A95" s="263">
        <v>45220</v>
      </c>
      <c r="B95" s="321" t="s">
        <v>250</v>
      </c>
      <c r="C95" s="373"/>
      <c r="D95" s="492">
        <v>52</v>
      </c>
      <c r="E95" s="355" t="s">
        <v>62</v>
      </c>
      <c r="F95" s="355"/>
      <c r="G95" s="271"/>
      <c r="H95" s="271"/>
      <c r="I95" s="278">
        <v>3.6</v>
      </c>
      <c r="J95" s="354">
        <f>I95/'통장내역(환율표)'!$D$132</f>
        <v>0.49471278243964079</v>
      </c>
      <c r="K95" s="271">
        <f t="shared" si="6"/>
        <v>305944.83000000083</v>
      </c>
      <c r="L95" s="271">
        <f t="shared" si="7"/>
        <v>42043.007642543969</v>
      </c>
      <c r="M95" s="355"/>
      <c r="N95" s="45">
        <f t="shared" si="5"/>
        <v>42043.00761270072</v>
      </c>
    </row>
    <row r="96" spans="1:14" s="5" customFormat="1" ht="13.5" customHeight="1">
      <c r="A96" s="263">
        <v>45220</v>
      </c>
      <c r="B96" s="373" t="s">
        <v>946</v>
      </c>
      <c r="C96" s="373"/>
      <c r="D96" s="492">
        <v>53</v>
      </c>
      <c r="E96" s="355" t="s">
        <v>62</v>
      </c>
      <c r="F96" s="355"/>
      <c r="G96" s="271"/>
      <c r="H96" s="271"/>
      <c r="I96" s="278">
        <v>266.39999999999998</v>
      </c>
      <c r="J96" s="354">
        <f>I96/'통장내역(환율표)'!$D$132</f>
        <v>36.608745900533414</v>
      </c>
      <c r="K96" s="271">
        <f t="shared" si="6"/>
        <v>305678.43000000081</v>
      </c>
      <c r="L96" s="271">
        <f t="shared" si="7"/>
        <v>42006.398896643434</v>
      </c>
      <c r="M96" s="355"/>
      <c r="N96" s="45">
        <f t="shared" si="5"/>
        <v>42006.398866800184</v>
      </c>
    </row>
    <row r="97" spans="1:15" s="5" customFormat="1" ht="13.5" customHeight="1">
      <c r="A97" s="263">
        <v>45220</v>
      </c>
      <c r="B97" s="321" t="s">
        <v>250</v>
      </c>
      <c r="C97" s="373"/>
      <c r="D97" s="492">
        <v>54</v>
      </c>
      <c r="E97" s="355" t="s">
        <v>62</v>
      </c>
      <c r="F97" s="355"/>
      <c r="G97" s="271"/>
      <c r="H97" s="271"/>
      <c r="I97" s="278">
        <v>3.6</v>
      </c>
      <c r="J97" s="354">
        <f>I97/'통장내역(환율표)'!$D$132</f>
        <v>0.49471278243964079</v>
      </c>
      <c r="K97" s="271">
        <f t="shared" si="6"/>
        <v>305674.83000000083</v>
      </c>
      <c r="L97" s="271">
        <f t="shared" si="7"/>
        <v>42005.904183860992</v>
      </c>
      <c r="M97" s="355"/>
      <c r="N97" s="45">
        <f t="shared" si="5"/>
        <v>42005.904154017742</v>
      </c>
    </row>
    <row r="98" spans="1:15" s="5" customFormat="1" ht="12.75" customHeight="1">
      <c r="A98" s="263">
        <v>45220</v>
      </c>
      <c r="B98" s="373" t="s">
        <v>709</v>
      </c>
      <c r="C98" s="373"/>
      <c r="D98" s="492">
        <v>55</v>
      </c>
      <c r="E98" s="355" t="s">
        <v>294</v>
      </c>
      <c r="F98" s="355" t="s">
        <v>322</v>
      </c>
      <c r="G98" s="271"/>
      <c r="H98" s="271"/>
      <c r="I98" s="278">
        <v>2130.64</v>
      </c>
      <c r="J98" s="354">
        <f>I98/'통장내역(환율표)'!$D$132</f>
        <v>292.79301188255448</v>
      </c>
      <c r="K98" s="271">
        <f t="shared" si="6"/>
        <v>303544.19000000082</v>
      </c>
      <c r="L98" s="271">
        <f t="shared" si="7"/>
        <v>41713.111171978439</v>
      </c>
      <c r="M98" s="355"/>
      <c r="N98" s="45">
        <f t="shared" si="5"/>
        <v>41713.111142135189</v>
      </c>
    </row>
    <row r="99" spans="1:15" s="5" customFormat="1" ht="13.5" customHeight="1">
      <c r="A99" s="263">
        <v>45220</v>
      </c>
      <c r="B99" s="321" t="s">
        <v>250</v>
      </c>
      <c r="C99" s="373"/>
      <c r="D99" s="492">
        <v>56</v>
      </c>
      <c r="E99" s="355" t="s">
        <v>62</v>
      </c>
      <c r="F99" s="355"/>
      <c r="G99" s="271"/>
      <c r="H99" s="271"/>
      <c r="I99" s="278">
        <v>3.6</v>
      </c>
      <c r="J99" s="354">
        <f>I99/'통장내역(환율표)'!$D$132</f>
        <v>0.49471278243964079</v>
      </c>
      <c r="K99" s="271">
        <f t="shared" si="6"/>
        <v>303540.59000000084</v>
      </c>
      <c r="L99" s="271">
        <f t="shared" si="7"/>
        <v>41712.616459195997</v>
      </c>
      <c r="M99" s="355"/>
      <c r="N99" s="45">
        <f t="shared" si="5"/>
        <v>41712.616429352747</v>
      </c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2.7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2.7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2.7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9" spans="1:15">
      <c r="B139" s="322"/>
      <c r="C139" s="322"/>
      <c r="D139" s="322"/>
      <c r="E139" s="322"/>
    </row>
    <row r="140" spans="1:15">
      <c r="B140" s="322"/>
    </row>
  </sheetData>
  <autoFilter ref="A18:N13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A84-6558-4469-BAB2-E97723E55622}">
  <sheetPr>
    <tabColor rgb="FFF8DA90"/>
    <pageSetUpPr fitToPage="1"/>
  </sheetPr>
  <dimension ref="A1:R160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D51" sqref="D51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27.25" customWidth="1"/>
    <col min="14" max="14" width="15.125" customWidth="1"/>
    <col min="15" max="15" width="11.625" bestFit="1" customWidth="1"/>
    <col min="16" max="16" width="9.625" bestFit="1" customWidth="1"/>
    <col min="17" max="17" width="13.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25">
      <c r="A2" s="130" t="s">
        <v>986</v>
      </c>
      <c r="B2" s="2"/>
      <c r="C2" s="2"/>
      <c r="E2" s="4">
        <v>100000210</v>
      </c>
      <c r="F2" s="119"/>
      <c r="G2" s="130" t="s">
        <v>991</v>
      </c>
      <c r="H2" s="2"/>
      <c r="I2" s="2"/>
      <c r="K2" s="4">
        <v>100000210</v>
      </c>
      <c r="L2" s="372"/>
    </row>
    <row r="3" spans="1:18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.5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.5">
      <c r="A5" s="114" t="s">
        <v>238</v>
      </c>
      <c r="B5" s="115" t="s">
        <v>12</v>
      </c>
      <c r="C5" s="120">
        <v>15991.13</v>
      </c>
      <c r="D5" s="116">
        <v>2197.5</v>
      </c>
      <c r="E5" s="117">
        <v>2962889</v>
      </c>
      <c r="F5" s="121">
        <v>51131050</v>
      </c>
      <c r="G5" s="114" t="s">
        <v>238</v>
      </c>
      <c r="H5" s="115" t="s">
        <v>12</v>
      </c>
      <c r="I5" s="120">
        <v>14788.4</v>
      </c>
      <c r="J5" s="116">
        <v>2032.53</v>
      </c>
      <c r="K5" s="117">
        <v>2660582</v>
      </c>
      <c r="L5" s="248">
        <f t="shared" ref="L5:L12" si="0">E5+K5</f>
        <v>5623471</v>
      </c>
      <c r="M5" s="130"/>
      <c r="N5" s="130"/>
      <c r="O5" s="130"/>
      <c r="R5" s="425">
        <f t="shared" ref="R5:R10" si="1">E5+K5+Q5</f>
        <v>5623471</v>
      </c>
    </row>
    <row r="6" spans="1:18" s="5" customFormat="1" ht="13.5">
      <c r="A6" s="114" t="s">
        <v>294</v>
      </c>
      <c r="B6" s="115" t="s">
        <v>14</v>
      </c>
      <c r="C6" s="116">
        <v>46343.01</v>
      </c>
      <c r="D6" s="116">
        <v>6368.47</v>
      </c>
      <c r="E6" s="117">
        <v>8586608</v>
      </c>
      <c r="F6" s="121">
        <v>51061030</v>
      </c>
      <c r="G6" s="114" t="s">
        <v>294</v>
      </c>
      <c r="H6" s="115" t="s">
        <v>14</v>
      </c>
      <c r="I6" s="116">
        <v>12882.835251348793</v>
      </c>
      <c r="J6" s="116">
        <v>1770.63</v>
      </c>
      <c r="K6" s="117">
        <v>2317755</v>
      </c>
      <c r="L6" s="248">
        <f t="shared" si="0"/>
        <v>10904363</v>
      </c>
      <c r="M6" s="130"/>
      <c r="N6" s="130"/>
      <c r="O6" s="130"/>
      <c r="R6" s="425">
        <f t="shared" si="1"/>
        <v>10904363</v>
      </c>
    </row>
    <row r="7" spans="1:18" s="5" customFormat="1" ht="13.5">
      <c r="A7" s="114" t="s">
        <v>75</v>
      </c>
      <c r="B7" s="115" t="s">
        <v>16</v>
      </c>
      <c r="C7" s="116">
        <v>20023</v>
      </c>
      <c r="D7" s="116">
        <v>2751.57</v>
      </c>
      <c r="E7" s="117">
        <v>3709942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3709942</v>
      </c>
      <c r="M7" s="130"/>
      <c r="N7" s="130"/>
      <c r="O7" s="130"/>
      <c r="R7" s="425">
        <f t="shared" si="1"/>
        <v>3709942</v>
      </c>
    </row>
    <row r="8" spans="1:18" s="5" customFormat="1" ht="13.5">
      <c r="A8" s="114" t="s">
        <v>75</v>
      </c>
      <c r="B8" s="114" t="s">
        <v>17</v>
      </c>
      <c r="C8" s="116">
        <v>21000</v>
      </c>
      <c r="D8" s="116">
        <v>2885.82</v>
      </c>
      <c r="E8" s="117">
        <v>3890951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3890951</v>
      </c>
      <c r="M8" s="130"/>
      <c r="N8" s="130"/>
      <c r="O8" s="130"/>
      <c r="R8" s="425">
        <f t="shared" si="1"/>
        <v>3890951</v>
      </c>
    </row>
    <row r="9" spans="1:18" s="5" customFormat="1" ht="13.5">
      <c r="A9" s="114" t="s">
        <v>296</v>
      </c>
      <c r="B9" s="114" t="s">
        <v>20</v>
      </c>
      <c r="C9" s="116">
        <v>408.5</v>
      </c>
      <c r="D9" s="116">
        <v>56.14</v>
      </c>
      <c r="E9" s="117">
        <v>75694</v>
      </c>
      <c r="F9" s="121">
        <v>51071700</v>
      </c>
      <c r="G9" s="114" t="s">
        <v>296</v>
      </c>
      <c r="H9" s="114" t="s">
        <v>20</v>
      </c>
      <c r="I9" s="116">
        <v>397.01</v>
      </c>
      <c r="J9" s="116">
        <v>54.57</v>
      </c>
      <c r="K9" s="117">
        <v>71432</v>
      </c>
      <c r="L9" s="248">
        <f t="shared" si="0"/>
        <v>147126</v>
      </c>
      <c r="M9" s="130"/>
      <c r="N9" s="130"/>
      <c r="O9" s="130"/>
      <c r="R9" s="425">
        <f t="shared" si="1"/>
        <v>147126</v>
      </c>
    </row>
    <row r="10" spans="1:18" s="5" customFormat="1" ht="13.5">
      <c r="A10" s="114" t="s">
        <v>62</v>
      </c>
      <c r="B10" s="115"/>
      <c r="C10" s="116">
        <v>199774.99000000008</v>
      </c>
      <c r="D10" s="116">
        <v>27453.119999999999</v>
      </c>
      <c r="E10" s="117">
        <v>37015042</v>
      </c>
      <c r="F10" s="121">
        <v>51321010</v>
      </c>
      <c r="G10" s="114" t="s">
        <v>62</v>
      </c>
      <c r="H10" s="115"/>
      <c r="I10" s="116">
        <v>1576.86</v>
      </c>
      <c r="J10" s="116">
        <v>242.72</v>
      </c>
      <c r="K10" s="117">
        <v>317720</v>
      </c>
      <c r="L10" s="248">
        <f t="shared" si="0"/>
        <v>37332762</v>
      </c>
      <c r="M10" s="130"/>
      <c r="N10" s="130"/>
      <c r="O10" s="130"/>
      <c r="R10" s="425">
        <f t="shared" si="1"/>
        <v>37332762</v>
      </c>
    </row>
    <row r="11" spans="1:18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.5">
      <c r="A12" s="1516" t="s">
        <v>299</v>
      </c>
      <c r="B12" s="1517"/>
      <c r="C12" s="467">
        <f>SUM(C4:C10)</f>
        <v>303540.63000000006</v>
      </c>
      <c r="D12" s="467">
        <f>SUM(D4:D10)</f>
        <v>41712.619999999995</v>
      </c>
      <c r="E12" s="468">
        <f>SUM(E4:E10)</f>
        <v>56241126</v>
      </c>
      <c r="F12" s="119"/>
      <c r="G12" s="1516" t="s">
        <v>299</v>
      </c>
      <c r="H12" s="1517"/>
      <c r="I12" s="467">
        <f>SUM(I4:I11)</f>
        <v>29645.105251348792</v>
      </c>
      <c r="J12" s="467">
        <f>SUM(J4:J11)</f>
        <v>4100.45</v>
      </c>
      <c r="K12" s="125">
        <f>SUM(K4:K11)</f>
        <v>5367489</v>
      </c>
      <c r="L12" s="248">
        <f t="shared" si="0"/>
        <v>61608615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333185.73525134887</v>
      </c>
      <c r="D13" s="469">
        <f>D12+J12</f>
        <v>45813.069999999992</v>
      </c>
      <c r="E13" s="470">
        <f>E12+K12</f>
        <v>61608615</v>
      </c>
      <c r="F13" s="504">
        <v>50</v>
      </c>
      <c r="G13" s="126" t="s">
        <v>13</v>
      </c>
      <c r="H13" s="126" t="s">
        <v>14</v>
      </c>
      <c r="I13" s="503">
        <v>21.39</v>
      </c>
      <c r="J13" s="503">
        <v>2.94</v>
      </c>
      <c r="K13" s="505">
        <v>3848</v>
      </c>
      <c r="L13" s="253">
        <v>2425.7418328151257</v>
      </c>
      <c r="M13" s="130"/>
      <c r="N13" s="493"/>
      <c r="O13" s="130"/>
    </row>
    <row r="14" spans="1:18" s="5" customFormat="1" ht="13.5">
      <c r="A14" s="2"/>
      <c r="C14" s="506">
        <f>C13-I13-I14</f>
        <v>332695.34525134886</v>
      </c>
      <c r="D14" s="506">
        <f>D13-J13-J14</f>
        <v>45745.669999999991</v>
      </c>
      <c r="E14" s="470">
        <f>E13-K13-K14</f>
        <v>61520389</v>
      </c>
      <c r="F14" s="504"/>
      <c r="G14" s="318" t="s">
        <v>15</v>
      </c>
      <c r="H14" s="126" t="s">
        <v>226</v>
      </c>
      <c r="I14" s="316">
        <v>469</v>
      </c>
      <c r="J14" s="316">
        <v>64.459999999999994</v>
      </c>
      <c r="K14" s="317">
        <v>84378</v>
      </c>
      <c r="L14" s="253"/>
      <c r="M14" s="253" t="e">
        <f>#REF!</f>
        <v>#REF!</v>
      </c>
      <c r="N14" s="253"/>
      <c r="O14" s="119"/>
    </row>
    <row r="15" spans="1:18" s="5" customFormat="1" ht="13.5">
      <c r="A15" s="126"/>
      <c r="B15" s="315"/>
      <c r="C15" s="469"/>
      <c r="D15" s="469"/>
      <c r="F15" s="385"/>
      <c r="G15" s="130"/>
      <c r="H15" s="130"/>
      <c r="I15" s="131"/>
      <c r="J15" s="131"/>
      <c r="K15" s="288"/>
      <c r="L15" s="253"/>
      <c r="N15" s="45"/>
    </row>
    <row r="16" spans="1:18" s="5" customFormat="1" ht="13.5">
      <c r="B16" s="134">
        <v>13081010</v>
      </c>
      <c r="C16" s="135"/>
      <c r="D16" s="135"/>
      <c r="G16" s="6"/>
      <c r="H16" s="137"/>
      <c r="I16" s="137">
        <f>SUBTOTAL(9,I19:I149)</f>
        <v>333185.73999999982</v>
      </c>
      <c r="J16" s="137">
        <f>SUBTOTAL(9,J19:J147)</f>
        <v>45813.06566279714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1" t="s">
        <v>26</v>
      </c>
      <c r="E17" s="1511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1"/>
      <c r="E18" s="1511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303540.59000000084</v>
      </c>
      <c r="L19" s="241">
        <v>41712.616459195997</v>
      </c>
      <c r="M19" s="240"/>
      <c r="N19" s="45">
        <v>41712.620000000003</v>
      </c>
    </row>
    <row r="20" spans="1:14" s="5" customFormat="1" ht="13.5" customHeight="1">
      <c r="A20" s="376">
        <v>45243</v>
      </c>
      <c r="B20" s="377" t="s">
        <v>643</v>
      </c>
      <c r="C20" s="377"/>
      <c r="D20" s="378">
        <v>1</v>
      </c>
      <c r="E20" s="188"/>
      <c r="F20" s="377"/>
      <c r="G20" s="379">
        <v>312731.26</v>
      </c>
      <c r="H20" s="380">
        <v>43008</v>
      </c>
      <c r="I20" s="381"/>
      <c r="J20" s="431">
        <f>I20/'통장내역(환율표)'!$D$127</f>
        <v>0</v>
      </c>
      <c r="K20" s="380">
        <f>K19+G20-I20</f>
        <v>616271.85000000079</v>
      </c>
      <c r="L20" s="380">
        <f>L19+H20-J20</f>
        <v>84720.616459195997</v>
      </c>
      <c r="M20" s="383"/>
      <c r="N20" s="45"/>
    </row>
    <row r="21" spans="1:14" s="5" customFormat="1" ht="13.5" customHeight="1">
      <c r="A21" s="376">
        <v>45243</v>
      </c>
      <c r="B21" s="377" t="s">
        <v>250</v>
      </c>
      <c r="C21" s="377"/>
      <c r="D21" s="18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616271.85000000079</v>
      </c>
      <c r="L21" s="380">
        <f t="shared" ref="L21:L84" si="3">L20+H21-J21</f>
        <v>84694.616459195997</v>
      </c>
      <c r="M21" s="383"/>
      <c r="N21" s="45"/>
    </row>
    <row r="22" spans="1:14" s="5" customFormat="1" ht="13.5" customHeight="1">
      <c r="A22" s="263">
        <v>45255</v>
      </c>
      <c r="B22" s="373" t="s">
        <v>892</v>
      </c>
      <c r="C22" s="373"/>
      <c r="D22" s="37">
        <v>2</v>
      </c>
      <c r="E22" s="37" t="s">
        <v>62</v>
      </c>
      <c r="F22" s="355"/>
      <c r="G22" s="375"/>
      <c r="H22" s="384"/>
      <c r="I22" s="278">
        <v>15000</v>
      </c>
      <c r="J22" s="431">
        <f>I22/'통장내역(환율표)'!$D$132</f>
        <v>2061.3032601651698</v>
      </c>
      <c r="K22" s="271">
        <f t="shared" si="2"/>
        <v>601271.85000000079</v>
      </c>
      <c r="L22" s="271">
        <f t="shared" si="3"/>
        <v>82633.313199030832</v>
      </c>
      <c r="M22" s="33" t="s">
        <v>993</v>
      </c>
      <c r="N22" s="45">
        <f>N19-J22+H22</f>
        <v>39651.316739834831</v>
      </c>
    </row>
    <row r="23" spans="1:14" s="5" customFormat="1" ht="13.5" customHeight="1">
      <c r="A23" s="263">
        <v>45255</v>
      </c>
      <c r="B23" s="373" t="s">
        <v>947</v>
      </c>
      <c r="C23" s="373"/>
      <c r="D23" s="37">
        <v>2</v>
      </c>
      <c r="E23" s="37" t="s">
        <v>62</v>
      </c>
      <c r="F23" s="355"/>
      <c r="G23" s="375"/>
      <c r="H23" s="33"/>
      <c r="I23" s="278">
        <v>22000</v>
      </c>
      <c r="J23" s="431">
        <f>I23/'통장내역(환율표)'!$D$132</f>
        <v>3023.2447815755827</v>
      </c>
      <c r="K23" s="271">
        <f t="shared" si="2"/>
        <v>579271.85000000079</v>
      </c>
      <c r="L23" s="271">
        <f t="shared" si="3"/>
        <v>79610.068417455244</v>
      </c>
      <c r="M23" s="33" t="s">
        <v>993</v>
      </c>
      <c r="N23" s="45">
        <f>N22-J23+H23</f>
        <v>36628.07195825925</v>
      </c>
    </row>
    <row r="24" spans="1:14" s="5" customFormat="1" ht="13.5" customHeight="1">
      <c r="A24" s="263">
        <v>45255</v>
      </c>
      <c r="B24" s="373" t="s">
        <v>894</v>
      </c>
      <c r="C24" s="373"/>
      <c r="D24" s="37">
        <v>2</v>
      </c>
      <c r="E24" s="37" t="s">
        <v>62</v>
      </c>
      <c r="F24" s="355"/>
      <c r="G24" s="375"/>
      <c r="H24" s="33"/>
      <c r="I24" s="278">
        <v>4673.3899999999994</v>
      </c>
      <c r="J24" s="431">
        <f>I24/'통장내역(환율표)'!$D$132</f>
        <v>642.21826953488687</v>
      </c>
      <c r="K24" s="271">
        <f t="shared" si="2"/>
        <v>574598.46000000078</v>
      </c>
      <c r="L24" s="271">
        <f t="shared" si="3"/>
        <v>78967.850147920355</v>
      </c>
      <c r="M24" s="33" t="s">
        <v>993</v>
      </c>
      <c r="N24" s="45">
        <f t="shared" ref="N24:N87" si="4">N23-J24+H24</f>
        <v>35985.853688724361</v>
      </c>
    </row>
    <row r="25" spans="1:14" s="5" customFormat="1" ht="13.5" customHeight="1">
      <c r="A25" s="263">
        <v>45255</v>
      </c>
      <c r="B25" s="373" t="s">
        <v>895</v>
      </c>
      <c r="C25" s="373"/>
      <c r="D25" s="37">
        <v>2</v>
      </c>
      <c r="E25" s="37" t="s">
        <v>62</v>
      </c>
      <c r="F25" s="355"/>
      <c r="G25" s="375"/>
      <c r="H25" s="33"/>
      <c r="I25" s="278">
        <v>6767.1900000000023</v>
      </c>
      <c r="J25" s="431">
        <f>I25/'통장내역(환율표)'!$D$132</f>
        <v>929.94872061047613</v>
      </c>
      <c r="K25" s="271">
        <f t="shared" si="2"/>
        <v>567831.27000000072</v>
      </c>
      <c r="L25" s="271">
        <f t="shared" si="3"/>
        <v>78037.901427309873</v>
      </c>
      <c r="M25" s="33" t="s">
        <v>993</v>
      </c>
      <c r="N25" s="45">
        <f t="shared" si="4"/>
        <v>35055.904968113886</v>
      </c>
    </row>
    <row r="26" spans="1:14" s="5" customFormat="1" ht="13.5" customHeight="1">
      <c r="A26" s="263">
        <v>45255</v>
      </c>
      <c r="B26" s="373" t="s">
        <v>899</v>
      </c>
      <c r="C26" s="373"/>
      <c r="D26" s="37">
        <v>2</v>
      </c>
      <c r="E26" s="37" t="s">
        <v>62</v>
      </c>
      <c r="F26" s="355"/>
      <c r="G26" s="375"/>
      <c r="H26" s="33"/>
      <c r="I26" s="278">
        <v>300</v>
      </c>
      <c r="J26" s="431">
        <f>I26/'통장내역(환율표)'!$D$132</f>
        <v>41.226065203303399</v>
      </c>
      <c r="K26" s="271">
        <f t="shared" si="2"/>
        <v>567531.27000000072</v>
      </c>
      <c r="L26" s="271">
        <f t="shared" si="3"/>
        <v>77996.675362106573</v>
      </c>
      <c r="M26" s="33" t="s">
        <v>993</v>
      </c>
      <c r="N26" s="45">
        <f t="shared" si="4"/>
        <v>35014.678902910586</v>
      </c>
    </row>
    <row r="27" spans="1:14" s="5" customFormat="1" ht="13.5" customHeight="1">
      <c r="A27" s="263">
        <v>45255</v>
      </c>
      <c r="B27" s="373" t="s">
        <v>892</v>
      </c>
      <c r="C27" s="373"/>
      <c r="D27" s="37">
        <v>2</v>
      </c>
      <c r="E27" s="37" t="s">
        <v>62</v>
      </c>
      <c r="F27" s="355"/>
      <c r="G27" s="375"/>
      <c r="H27" s="33"/>
      <c r="I27" s="278">
        <v>15000</v>
      </c>
      <c r="J27" s="431">
        <f>I27/'통장내역(환율표)'!$D$132</f>
        <v>2061.3032601651698</v>
      </c>
      <c r="K27" s="271">
        <f t="shared" si="2"/>
        <v>552531.27000000072</v>
      </c>
      <c r="L27" s="271">
        <f t="shared" si="3"/>
        <v>75935.372101941408</v>
      </c>
      <c r="M27" s="33" t="s">
        <v>994</v>
      </c>
      <c r="N27" s="45">
        <f t="shared" si="4"/>
        <v>32953.375642745414</v>
      </c>
    </row>
    <row r="28" spans="1:14" s="5" customFormat="1" ht="13.5" customHeight="1">
      <c r="A28" s="263">
        <v>45255</v>
      </c>
      <c r="B28" s="373" t="s">
        <v>947</v>
      </c>
      <c r="C28" s="373"/>
      <c r="D28" s="37">
        <v>2</v>
      </c>
      <c r="E28" s="37" t="s">
        <v>62</v>
      </c>
      <c r="F28" s="355"/>
      <c r="G28" s="375"/>
      <c r="H28" s="33"/>
      <c r="I28" s="278">
        <v>22000</v>
      </c>
      <c r="J28" s="431">
        <f>I28/'통장내역(환율표)'!$D$132</f>
        <v>3023.2447815755827</v>
      </c>
      <c r="K28" s="271">
        <f t="shared" si="2"/>
        <v>530531.27000000072</v>
      </c>
      <c r="L28" s="271">
        <f t="shared" si="3"/>
        <v>72912.12732036582</v>
      </c>
      <c r="M28" s="33" t="s">
        <v>994</v>
      </c>
      <c r="N28" s="45">
        <f t="shared" si="4"/>
        <v>29930.13086116983</v>
      </c>
    </row>
    <row r="29" spans="1:14" s="5" customFormat="1" ht="13.5" customHeight="1">
      <c r="A29" s="263">
        <v>45255</v>
      </c>
      <c r="B29" s="373" t="s">
        <v>894</v>
      </c>
      <c r="C29" s="373"/>
      <c r="D29" s="37">
        <v>2</v>
      </c>
      <c r="E29" s="37" t="s">
        <v>62</v>
      </c>
      <c r="F29" s="355"/>
      <c r="G29" s="375"/>
      <c r="H29" s="33"/>
      <c r="I29" s="278">
        <v>8423.39</v>
      </c>
      <c r="J29" s="431">
        <f>I29/'통장내역(환율표)'!$D$132</f>
        <v>1157.5440845761793</v>
      </c>
      <c r="K29" s="271">
        <f t="shared" si="2"/>
        <v>522107.8800000007</v>
      </c>
      <c r="L29" s="271">
        <f t="shared" si="3"/>
        <v>71754.583235789643</v>
      </c>
      <c r="M29" s="33" t="s">
        <v>994</v>
      </c>
      <c r="N29" s="45">
        <f t="shared" si="4"/>
        <v>28772.586776593649</v>
      </c>
    </row>
    <row r="30" spans="1:14" s="5" customFormat="1" ht="13.5" customHeight="1">
      <c r="A30" s="263">
        <v>45255</v>
      </c>
      <c r="B30" s="373" t="s">
        <v>895</v>
      </c>
      <c r="C30" s="373"/>
      <c r="D30" s="37">
        <v>2</v>
      </c>
      <c r="E30" s="37" t="s">
        <v>62</v>
      </c>
      <c r="F30" s="355"/>
      <c r="G30" s="375"/>
      <c r="H30" s="33"/>
      <c r="I30" s="278">
        <v>6071.1900000000023</v>
      </c>
      <c r="J30" s="431">
        <f>I30/'통장내역(환율표)'!$D$132</f>
        <v>834.30424933881216</v>
      </c>
      <c r="K30" s="271">
        <f t="shared" si="2"/>
        <v>516036.6900000007</v>
      </c>
      <c r="L30" s="271">
        <f t="shared" si="3"/>
        <v>70920.278986450838</v>
      </c>
      <c r="M30" s="33" t="s">
        <v>994</v>
      </c>
      <c r="N30" s="45">
        <f t="shared" si="4"/>
        <v>27938.282527254836</v>
      </c>
    </row>
    <row r="31" spans="1:14" s="5" customFormat="1" ht="13.5" customHeight="1">
      <c r="A31" s="263">
        <v>45255</v>
      </c>
      <c r="B31" s="373" t="s">
        <v>899</v>
      </c>
      <c r="C31" s="373"/>
      <c r="D31" s="37">
        <v>2</v>
      </c>
      <c r="E31" s="37" t="s">
        <v>62</v>
      </c>
      <c r="F31" s="355"/>
      <c r="G31" s="375"/>
      <c r="H31" s="33"/>
      <c r="I31" s="278">
        <v>300</v>
      </c>
      <c r="J31" s="431">
        <f>I31/'통장내역(환율표)'!$D$132</f>
        <v>41.226065203303399</v>
      </c>
      <c r="K31" s="271">
        <f t="shared" si="2"/>
        <v>515736.6900000007</v>
      </c>
      <c r="L31" s="271">
        <f t="shared" si="3"/>
        <v>70879.052921247538</v>
      </c>
      <c r="M31" s="33" t="s">
        <v>994</v>
      </c>
      <c r="N31" s="45">
        <f t="shared" si="4"/>
        <v>27897.056462051532</v>
      </c>
    </row>
    <row r="32" spans="1:14" s="5" customFormat="1" ht="13.5" customHeight="1">
      <c r="A32" s="263">
        <v>45255</v>
      </c>
      <c r="B32" s="373" t="s">
        <v>898</v>
      </c>
      <c r="C32" s="373"/>
      <c r="D32" s="37">
        <v>2</v>
      </c>
      <c r="E32" s="37" t="s">
        <v>62</v>
      </c>
      <c r="F32" s="355"/>
      <c r="G32" s="375"/>
      <c r="H32" s="33"/>
      <c r="I32" s="278">
        <v>25000</v>
      </c>
      <c r="J32" s="431">
        <f>I32/'통장내역(환율표)'!$D$132</f>
        <v>3435.5054336086164</v>
      </c>
      <c r="K32" s="271">
        <f t="shared" si="2"/>
        <v>490736.6900000007</v>
      </c>
      <c r="L32" s="271">
        <f t="shared" si="3"/>
        <v>67443.54748763892</v>
      </c>
      <c r="M32" s="33" t="s">
        <v>995</v>
      </c>
      <c r="N32" s="45">
        <f t="shared" si="4"/>
        <v>24461.551028442915</v>
      </c>
    </row>
    <row r="33" spans="1:14" s="5" customFormat="1" ht="13.5" customHeight="1">
      <c r="A33" s="263">
        <v>45255</v>
      </c>
      <c r="B33" s="373" t="s">
        <v>948</v>
      </c>
      <c r="C33" s="373"/>
      <c r="D33" s="37">
        <v>2</v>
      </c>
      <c r="E33" s="37" t="s">
        <v>62</v>
      </c>
      <c r="F33" s="355"/>
      <c r="G33" s="375"/>
      <c r="H33" s="33"/>
      <c r="I33" s="278">
        <v>5363.71</v>
      </c>
      <c r="J33" s="431">
        <f>I33/'통장내역(환율표)'!$D$132</f>
        <v>737.08219397203493</v>
      </c>
      <c r="K33" s="271">
        <f t="shared" si="2"/>
        <v>485372.98000000068</v>
      </c>
      <c r="L33" s="271">
        <f t="shared" si="3"/>
        <v>66706.465293666886</v>
      </c>
      <c r="M33" s="33" t="s">
        <v>995</v>
      </c>
      <c r="N33" s="45">
        <f t="shared" si="4"/>
        <v>23724.468834470881</v>
      </c>
    </row>
    <row r="34" spans="1:14" s="5" customFormat="1" ht="13.5" customHeight="1">
      <c r="A34" s="263">
        <v>45255</v>
      </c>
      <c r="B34" s="373" t="s">
        <v>899</v>
      </c>
      <c r="C34" s="373"/>
      <c r="D34" s="37">
        <v>2</v>
      </c>
      <c r="E34" s="37" t="s">
        <v>62</v>
      </c>
      <c r="F34" s="355"/>
      <c r="G34" s="375"/>
      <c r="H34" s="33"/>
      <c r="I34" s="278">
        <v>300</v>
      </c>
      <c r="J34" s="431">
        <f>I34/'통장내역(환율표)'!$D$132</f>
        <v>41.226065203303399</v>
      </c>
      <c r="K34" s="271">
        <f t="shared" si="2"/>
        <v>485072.98000000068</v>
      </c>
      <c r="L34" s="271">
        <f t="shared" si="3"/>
        <v>66665.239228463586</v>
      </c>
      <c r="M34" s="33" t="s">
        <v>995</v>
      </c>
      <c r="N34" s="45">
        <f t="shared" si="4"/>
        <v>23683.242769267577</v>
      </c>
    </row>
    <row r="35" spans="1:14" s="5" customFormat="1" ht="13.5" customHeight="1">
      <c r="A35" s="263">
        <v>45255</v>
      </c>
      <c r="B35" s="373" t="s">
        <v>992</v>
      </c>
      <c r="C35" s="373"/>
      <c r="D35" s="37">
        <v>2</v>
      </c>
      <c r="E35" s="37" t="s">
        <v>62</v>
      </c>
      <c r="F35" s="355"/>
      <c r="G35" s="375"/>
      <c r="H35" s="33"/>
      <c r="I35" s="278">
        <v>1000</v>
      </c>
      <c r="J35" s="431">
        <f>I35/'통장내역(환율표)'!$D$132</f>
        <v>137.42021734434465</v>
      </c>
      <c r="K35" s="271">
        <f t="shared" si="2"/>
        <v>484072.98000000068</v>
      </c>
      <c r="L35" s="271">
        <f t="shared" si="3"/>
        <v>66527.819011119238</v>
      </c>
      <c r="M35" s="33" t="s">
        <v>995</v>
      </c>
      <c r="N35" s="45">
        <f t="shared" si="4"/>
        <v>23545.822551923233</v>
      </c>
    </row>
    <row r="36" spans="1:14" s="5" customFormat="1" ht="13.5" customHeight="1">
      <c r="A36" s="263">
        <v>45255</v>
      </c>
      <c r="B36" s="373" t="s">
        <v>898</v>
      </c>
      <c r="C36" s="373"/>
      <c r="D36" s="37">
        <v>2</v>
      </c>
      <c r="E36" s="37" t="s">
        <v>62</v>
      </c>
      <c r="F36" s="355"/>
      <c r="G36" s="375"/>
      <c r="H36" s="33"/>
      <c r="I36" s="278">
        <v>13000</v>
      </c>
      <c r="J36" s="431">
        <f>I36/'통장내역(환율표)'!$D$132</f>
        <v>1786.4628254764807</v>
      </c>
      <c r="K36" s="271">
        <f t="shared" si="2"/>
        <v>471072.98000000068</v>
      </c>
      <c r="L36" s="271">
        <f t="shared" si="3"/>
        <v>64741.356185642755</v>
      </c>
      <c r="M36" s="495" t="s">
        <v>996</v>
      </c>
      <c r="N36" s="45">
        <f t="shared" si="4"/>
        <v>21759.359726446753</v>
      </c>
    </row>
    <row r="37" spans="1:14" s="5" customFormat="1" ht="13.5" customHeight="1">
      <c r="A37" s="263">
        <v>45255</v>
      </c>
      <c r="B37" s="373" t="s">
        <v>948</v>
      </c>
      <c r="C37" s="373"/>
      <c r="D37" s="37">
        <v>2</v>
      </c>
      <c r="E37" s="37" t="s">
        <v>62</v>
      </c>
      <c r="F37" s="355"/>
      <c r="G37" s="375"/>
      <c r="H37" s="33"/>
      <c r="I37" s="278">
        <v>2816.83</v>
      </c>
      <c r="J37" s="431">
        <f>I37/'통장내역(환율표)'!$D$132</f>
        <v>387.08939082207036</v>
      </c>
      <c r="K37" s="271">
        <f t="shared" si="2"/>
        <v>468256.15000000066</v>
      </c>
      <c r="L37" s="271">
        <f t="shared" si="3"/>
        <v>64354.266794820687</v>
      </c>
      <c r="M37" s="495" t="s">
        <v>996</v>
      </c>
      <c r="N37" s="45">
        <f t="shared" si="4"/>
        <v>21372.270335624682</v>
      </c>
    </row>
    <row r="38" spans="1:14" s="5" customFormat="1" ht="13.5" customHeight="1">
      <c r="A38" s="263">
        <v>45255</v>
      </c>
      <c r="B38" s="373" t="s">
        <v>899</v>
      </c>
      <c r="C38" s="373"/>
      <c r="D38" s="37">
        <v>2</v>
      </c>
      <c r="E38" s="37" t="s">
        <v>62</v>
      </c>
      <c r="F38" s="355"/>
      <c r="G38" s="375"/>
      <c r="H38" s="33"/>
      <c r="I38" s="278">
        <v>300</v>
      </c>
      <c r="J38" s="431">
        <f>I38/'통장내역(환율표)'!$D$132</f>
        <v>41.226065203303399</v>
      </c>
      <c r="K38" s="271">
        <f t="shared" si="2"/>
        <v>467956.15000000066</v>
      </c>
      <c r="L38" s="271">
        <f t="shared" si="3"/>
        <v>64313.040729617387</v>
      </c>
      <c r="M38" s="495" t="s">
        <v>996</v>
      </c>
      <c r="N38" s="45">
        <f t="shared" si="4"/>
        <v>21331.044270421378</v>
      </c>
    </row>
    <row r="39" spans="1:14" s="5" customFormat="1" ht="13.5" customHeight="1">
      <c r="A39" s="263">
        <v>45255</v>
      </c>
      <c r="B39" s="373" t="s">
        <v>992</v>
      </c>
      <c r="C39" s="373"/>
      <c r="D39" s="37">
        <v>2</v>
      </c>
      <c r="E39" s="37" t="s">
        <v>62</v>
      </c>
      <c r="F39" s="355"/>
      <c r="G39" s="375"/>
      <c r="H39" s="33"/>
      <c r="I39" s="278">
        <v>1500</v>
      </c>
      <c r="J39" s="431">
        <f>I39/'통장내역(환율표)'!$D$132</f>
        <v>206.13032601651699</v>
      </c>
      <c r="K39" s="271">
        <f t="shared" si="2"/>
        <v>466456.15000000066</v>
      </c>
      <c r="L39" s="271">
        <f t="shared" si="3"/>
        <v>64106.910403600872</v>
      </c>
      <c r="M39" s="495" t="s">
        <v>996</v>
      </c>
      <c r="N39" s="45">
        <f t="shared" si="4"/>
        <v>21124.91394440486</v>
      </c>
    </row>
    <row r="40" spans="1:14" s="5" customFormat="1" ht="13.5" customHeight="1">
      <c r="A40" s="263">
        <v>45255</v>
      </c>
      <c r="B40" s="373" t="s">
        <v>898</v>
      </c>
      <c r="C40" s="373"/>
      <c r="D40" s="37">
        <v>2</v>
      </c>
      <c r="E40" s="37" t="s">
        <v>62</v>
      </c>
      <c r="F40" s="355"/>
      <c r="G40" s="375"/>
      <c r="H40" s="33"/>
      <c r="I40" s="278">
        <v>25000</v>
      </c>
      <c r="J40" s="431">
        <f>I40/'통장내역(환율표)'!$D$132</f>
        <v>3435.5054336086164</v>
      </c>
      <c r="K40" s="271">
        <f t="shared" si="2"/>
        <v>441456.15000000066</v>
      </c>
      <c r="L40" s="271">
        <f t="shared" si="3"/>
        <v>60671.404969992254</v>
      </c>
      <c r="M40" s="33" t="s">
        <v>902</v>
      </c>
      <c r="N40" s="45">
        <f t="shared" si="4"/>
        <v>17689.408510796242</v>
      </c>
    </row>
    <row r="41" spans="1:14" s="5" customFormat="1" ht="13.5" customHeight="1">
      <c r="A41" s="263">
        <v>45255</v>
      </c>
      <c r="B41" s="373" t="s">
        <v>948</v>
      </c>
      <c r="C41" s="373"/>
      <c r="D41" s="37">
        <v>2</v>
      </c>
      <c r="E41" s="37" t="s">
        <v>62</v>
      </c>
      <c r="F41" s="355"/>
      <c r="G41" s="375"/>
      <c r="H41" s="33"/>
      <c r="I41" s="278">
        <v>6738.71</v>
      </c>
      <c r="J41" s="431">
        <f>I41/'통장내역(환율표)'!$D$132</f>
        <v>926.03499282050882</v>
      </c>
      <c r="K41" s="271">
        <f t="shared" si="2"/>
        <v>434717.44000000064</v>
      </c>
      <c r="L41" s="271">
        <f t="shared" si="3"/>
        <v>59745.369977171744</v>
      </c>
      <c r="M41" s="33" t="s">
        <v>902</v>
      </c>
      <c r="N41" s="45">
        <f t="shared" si="4"/>
        <v>16763.373517975731</v>
      </c>
    </row>
    <row r="42" spans="1:14" s="5" customFormat="1" ht="13.5" customHeight="1">
      <c r="A42" s="263">
        <v>45255</v>
      </c>
      <c r="B42" s="373" t="s">
        <v>899</v>
      </c>
      <c r="C42" s="373"/>
      <c r="D42" s="37">
        <v>2</v>
      </c>
      <c r="E42" s="37" t="s">
        <v>62</v>
      </c>
      <c r="F42" s="355"/>
      <c r="G42" s="375"/>
      <c r="H42" s="33"/>
      <c r="I42" s="278">
        <v>300</v>
      </c>
      <c r="J42" s="431">
        <f>I42/'통장내역(환율표)'!$D$132</f>
        <v>41.226065203303399</v>
      </c>
      <c r="K42" s="271">
        <f t="shared" si="2"/>
        <v>434417.44000000064</v>
      </c>
      <c r="L42" s="271">
        <f t="shared" si="3"/>
        <v>59704.143911968444</v>
      </c>
      <c r="M42" s="33" t="s">
        <v>902</v>
      </c>
      <c r="N42" s="45">
        <f t="shared" si="4"/>
        <v>16722.147452772428</v>
      </c>
    </row>
    <row r="43" spans="1:14" s="5" customFormat="1" ht="13.5" customHeight="1">
      <c r="A43" s="263">
        <v>45255</v>
      </c>
      <c r="B43" s="373" t="s">
        <v>992</v>
      </c>
      <c r="C43" s="373"/>
      <c r="D43" s="37">
        <v>2</v>
      </c>
      <c r="E43" s="37" t="s">
        <v>62</v>
      </c>
      <c r="F43" s="355"/>
      <c r="G43" s="375"/>
      <c r="H43" s="33"/>
      <c r="I43" s="278">
        <v>200</v>
      </c>
      <c r="J43" s="431">
        <f>I43/'통장내역(환율표)'!$D$132</f>
        <v>27.484043468868933</v>
      </c>
      <c r="K43" s="271">
        <f t="shared" si="2"/>
        <v>434217.44000000064</v>
      </c>
      <c r="L43" s="271">
        <f t="shared" si="3"/>
        <v>59676.659868499577</v>
      </c>
      <c r="M43" s="33" t="s">
        <v>902</v>
      </c>
      <c r="N43" s="45">
        <f t="shared" si="4"/>
        <v>16694.663409303557</v>
      </c>
    </row>
    <row r="44" spans="1:14" s="5" customFormat="1" ht="13.5" customHeight="1">
      <c r="A44" s="263">
        <v>45255</v>
      </c>
      <c r="B44" s="433" t="s">
        <v>250</v>
      </c>
      <c r="C44" s="373"/>
      <c r="D44" s="37">
        <v>3</v>
      </c>
      <c r="E44" s="37" t="s">
        <v>62</v>
      </c>
      <c r="F44" s="355"/>
      <c r="G44" s="375"/>
      <c r="H44" s="33"/>
      <c r="I44" s="278">
        <v>12</v>
      </c>
      <c r="J44" s="431">
        <f>I44/'통장내역(환율표)'!$D$132</f>
        <v>1.6490426081321359</v>
      </c>
      <c r="K44" s="271">
        <f t="shared" si="2"/>
        <v>434205.44000000064</v>
      </c>
      <c r="L44" s="271">
        <f t="shared" si="3"/>
        <v>59675.010825891448</v>
      </c>
      <c r="M44" s="33"/>
      <c r="N44" s="45">
        <f t="shared" si="4"/>
        <v>16693.014366695425</v>
      </c>
    </row>
    <row r="45" spans="1:14" s="5" customFormat="1" ht="13.5" customHeight="1">
      <c r="A45" s="263">
        <v>45255</v>
      </c>
      <c r="B45" s="373" t="s">
        <v>304</v>
      </c>
      <c r="C45" s="373"/>
      <c r="D45" s="37">
        <v>4</v>
      </c>
      <c r="E45" s="37" t="s">
        <v>105</v>
      </c>
      <c r="F45" s="355" t="s">
        <v>106</v>
      </c>
      <c r="G45" s="375"/>
      <c r="H45" s="33"/>
      <c r="I45" s="278">
        <v>20023</v>
      </c>
      <c r="J45" s="431">
        <f>I45/'통장내역(환율표)'!$D$132</f>
        <v>2751.5650118858134</v>
      </c>
      <c r="K45" s="271">
        <f t="shared" si="2"/>
        <v>414182.44000000064</v>
      </c>
      <c r="L45" s="271">
        <f t="shared" si="3"/>
        <v>56923.445814005638</v>
      </c>
      <c r="M45" s="33"/>
      <c r="N45" s="45">
        <f t="shared" si="4"/>
        <v>13941.449354809611</v>
      </c>
    </row>
    <row r="46" spans="1:14" s="5" customFormat="1" ht="13.5" customHeight="1">
      <c r="A46" s="263">
        <v>45255</v>
      </c>
      <c r="B46" s="433" t="s">
        <v>250</v>
      </c>
      <c r="C46" s="373"/>
      <c r="D46" s="37">
        <v>5</v>
      </c>
      <c r="E46" s="37" t="s">
        <v>62</v>
      </c>
      <c r="F46" s="355"/>
      <c r="G46" s="375"/>
      <c r="H46" s="33"/>
      <c r="I46" s="38">
        <v>7.2</v>
      </c>
      <c r="J46" s="431">
        <f>I46/'통장내역(환율표)'!$D$132</f>
        <v>0.98942556487928157</v>
      </c>
      <c r="K46" s="271">
        <f t="shared" si="2"/>
        <v>414175.24000000063</v>
      </c>
      <c r="L46" s="271">
        <f t="shared" si="3"/>
        <v>56922.456388440762</v>
      </c>
      <c r="M46" s="33"/>
      <c r="N46" s="45">
        <f t="shared" si="4"/>
        <v>13940.459929244731</v>
      </c>
    </row>
    <row r="47" spans="1:14" s="5" customFormat="1" ht="13.5" customHeight="1">
      <c r="A47" s="263">
        <v>45255</v>
      </c>
      <c r="B47" s="373" t="s">
        <v>732</v>
      </c>
      <c r="C47" s="373"/>
      <c r="D47" s="37">
        <v>6</v>
      </c>
      <c r="E47" s="37" t="s">
        <v>62</v>
      </c>
      <c r="F47" s="355"/>
      <c r="G47" s="375"/>
      <c r="H47" s="33"/>
      <c r="I47" s="38">
        <v>1391.63</v>
      </c>
      <c r="J47" s="431">
        <f>I47/'통장내역(환율표)'!$D$132</f>
        <v>191.23809706291038</v>
      </c>
      <c r="K47" s="271">
        <f t="shared" si="2"/>
        <v>412783.61000000063</v>
      </c>
      <c r="L47" s="271">
        <f t="shared" si="3"/>
        <v>56731.218291377852</v>
      </c>
      <c r="M47" s="33"/>
      <c r="N47" s="45">
        <f t="shared" si="4"/>
        <v>13749.22183218182</v>
      </c>
    </row>
    <row r="48" spans="1:14" s="5" customFormat="1" ht="13.5" customHeight="1">
      <c r="A48" s="263">
        <v>45255</v>
      </c>
      <c r="B48" s="433" t="s">
        <v>250</v>
      </c>
      <c r="C48" s="373"/>
      <c r="D48" s="37">
        <v>7</v>
      </c>
      <c r="E48" s="37" t="s">
        <v>62</v>
      </c>
      <c r="F48" s="355"/>
      <c r="G48" s="375"/>
      <c r="H48" s="33"/>
      <c r="I48" s="38">
        <v>3.6</v>
      </c>
      <c r="J48" s="431">
        <f>I48/'통장내역(환율표)'!$D$132</f>
        <v>0.49471278243964079</v>
      </c>
      <c r="K48" s="271">
        <f t="shared" si="2"/>
        <v>412780.01000000065</v>
      </c>
      <c r="L48" s="271">
        <f t="shared" si="3"/>
        <v>56730.723578595411</v>
      </c>
      <c r="M48" s="33"/>
      <c r="N48" s="45">
        <f t="shared" si="4"/>
        <v>13748.72711939938</v>
      </c>
    </row>
    <row r="49" spans="1:14" s="5" customFormat="1" ht="13.5" customHeight="1">
      <c r="A49" s="263">
        <v>45255</v>
      </c>
      <c r="B49" s="321" t="s">
        <v>346</v>
      </c>
      <c r="C49" s="373"/>
      <c r="D49" s="37">
        <v>8</v>
      </c>
      <c r="E49" s="37" t="s">
        <v>105</v>
      </c>
      <c r="F49" s="355" t="s">
        <v>227</v>
      </c>
      <c r="G49" s="375"/>
      <c r="H49" s="33"/>
      <c r="I49" s="38">
        <v>10500</v>
      </c>
      <c r="J49" s="431">
        <f>I49/'통장내역(환율표)'!$D$132</f>
        <v>1442.9122821156191</v>
      </c>
      <c r="K49" s="271">
        <f t="shared" si="2"/>
        <v>402280.01000000065</v>
      </c>
      <c r="L49" s="271">
        <f t="shared" si="3"/>
        <v>55287.811296479791</v>
      </c>
      <c r="M49" s="33"/>
      <c r="N49" s="45">
        <f t="shared" si="4"/>
        <v>12305.81483728376</v>
      </c>
    </row>
    <row r="50" spans="1:14" s="5" customFormat="1" ht="13.5" customHeight="1">
      <c r="A50" s="263">
        <v>45255</v>
      </c>
      <c r="B50" s="321" t="s">
        <v>347</v>
      </c>
      <c r="C50" s="373"/>
      <c r="D50" s="37">
        <v>8</v>
      </c>
      <c r="E50" s="37" t="s">
        <v>62</v>
      </c>
      <c r="F50" s="355"/>
      <c r="G50" s="375"/>
      <c r="H50" s="33"/>
      <c r="I50" s="38">
        <v>6000</v>
      </c>
      <c r="J50" s="431">
        <f>I50/'통장내역(환율표)'!$D$132</f>
        <v>824.52130406606796</v>
      </c>
      <c r="K50" s="271">
        <f t="shared" si="2"/>
        <v>396280.01000000065</v>
      </c>
      <c r="L50" s="271">
        <f t="shared" si="3"/>
        <v>54463.289992413724</v>
      </c>
      <c r="M50" s="33"/>
      <c r="N50" s="45">
        <f t="shared" si="4"/>
        <v>11481.293533217693</v>
      </c>
    </row>
    <row r="51" spans="1:14" s="5" customFormat="1" ht="13.5" customHeight="1">
      <c r="A51" s="263">
        <v>45255</v>
      </c>
      <c r="B51" s="321" t="s">
        <v>351</v>
      </c>
      <c r="C51" s="373"/>
      <c r="D51" s="37">
        <v>8</v>
      </c>
      <c r="E51" s="37" t="s">
        <v>62</v>
      </c>
      <c r="F51" s="355"/>
      <c r="G51" s="375"/>
      <c r="H51" s="33"/>
      <c r="I51" s="38">
        <v>950</v>
      </c>
      <c r="J51" s="431">
        <f>I51/'통장내역(환율표)'!$D$132</f>
        <v>130.54920647712743</v>
      </c>
      <c r="K51" s="271">
        <f t="shared" si="2"/>
        <v>395330.01000000065</v>
      </c>
      <c r="L51" s="271">
        <f t="shared" si="3"/>
        <v>54332.740785936599</v>
      </c>
      <c r="M51" s="33"/>
      <c r="N51" s="45">
        <f t="shared" si="4"/>
        <v>11350.744326740565</v>
      </c>
    </row>
    <row r="52" spans="1:14" s="5" customFormat="1" ht="13.5" customHeight="1">
      <c r="A52" s="263">
        <v>45255</v>
      </c>
      <c r="B52" s="321" t="s">
        <v>346</v>
      </c>
      <c r="C52" s="373"/>
      <c r="D52" s="37">
        <v>9</v>
      </c>
      <c r="E52" s="37" t="s">
        <v>105</v>
      </c>
      <c r="F52" s="355" t="s">
        <v>227</v>
      </c>
      <c r="G52" s="375"/>
      <c r="H52" s="33"/>
      <c r="I52" s="38">
        <f>7000+3031+469</f>
        <v>10500</v>
      </c>
      <c r="J52" s="431">
        <f>I52/'통장내역(환율표)'!$D$132</f>
        <v>1442.9122821156191</v>
      </c>
      <c r="K52" s="271">
        <f t="shared" si="2"/>
        <v>384830.01000000065</v>
      </c>
      <c r="L52" s="271">
        <f t="shared" si="3"/>
        <v>52889.82850382098</v>
      </c>
      <c r="M52" s="33" t="s">
        <v>1032</v>
      </c>
      <c r="N52" s="45">
        <f t="shared" si="4"/>
        <v>9907.8320446249454</v>
      </c>
    </row>
    <row r="53" spans="1:14" s="5" customFormat="1" ht="13.5" customHeight="1">
      <c r="A53" s="263">
        <v>45255</v>
      </c>
      <c r="B53" s="321" t="s">
        <v>347</v>
      </c>
      <c r="C53" s="373"/>
      <c r="D53" s="37">
        <v>9</v>
      </c>
      <c r="E53" s="37" t="s">
        <v>62</v>
      </c>
      <c r="F53" s="355"/>
      <c r="G53" s="375"/>
      <c r="H53" s="33"/>
      <c r="I53" s="38">
        <v>6000</v>
      </c>
      <c r="J53" s="431">
        <f>I53/'통장내역(환율표)'!$D$132</f>
        <v>824.52130406606796</v>
      </c>
      <c r="K53" s="271">
        <f t="shared" si="2"/>
        <v>378830.01000000065</v>
      </c>
      <c r="L53" s="271">
        <f t="shared" si="3"/>
        <v>52065.307199754912</v>
      </c>
      <c r="M53" s="33"/>
      <c r="N53" s="45">
        <f t="shared" si="4"/>
        <v>9083.310740558878</v>
      </c>
    </row>
    <row r="54" spans="1:14" s="5" customFormat="1" ht="13.5" customHeight="1">
      <c r="A54" s="263">
        <v>45255</v>
      </c>
      <c r="B54" s="321" t="s">
        <v>351</v>
      </c>
      <c r="C54" s="373"/>
      <c r="D54" s="37">
        <v>9</v>
      </c>
      <c r="E54" s="37" t="s">
        <v>62</v>
      </c>
      <c r="F54" s="355"/>
      <c r="G54" s="375"/>
      <c r="H54" s="33"/>
      <c r="I54" s="38">
        <v>1320</v>
      </c>
      <c r="J54" s="431">
        <f>I54/'통장내역(환율표)'!$D$132</f>
        <v>181.39468689453494</v>
      </c>
      <c r="K54" s="271">
        <f t="shared" si="2"/>
        <v>377510.01000000065</v>
      </c>
      <c r="L54" s="271">
        <f t="shared" si="3"/>
        <v>51883.912512860377</v>
      </c>
      <c r="M54" s="33"/>
      <c r="N54" s="45">
        <f t="shared" si="4"/>
        <v>8901.9160536643431</v>
      </c>
    </row>
    <row r="55" spans="1:14" s="5" customFormat="1" ht="13.5" customHeight="1">
      <c r="A55" s="263">
        <v>45255</v>
      </c>
      <c r="B55" s="321" t="s">
        <v>250</v>
      </c>
      <c r="C55" s="373"/>
      <c r="D55" s="37">
        <v>10</v>
      </c>
      <c r="E55" s="37" t="s">
        <v>62</v>
      </c>
      <c r="F55" s="355"/>
      <c r="G55" s="375"/>
      <c r="H55" s="33"/>
      <c r="I55" s="38">
        <v>7.2</v>
      </c>
      <c r="J55" s="431">
        <f>I55/'통장내역(환율표)'!$D$132</f>
        <v>0.98942556487928157</v>
      </c>
      <c r="K55" s="271">
        <f t="shared" si="2"/>
        <v>377502.81000000064</v>
      </c>
      <c r="L55" s="271">
        <f t="shared" si="3"/>
        <v>51882.923087295501</v>
      </c>
      <c r="M55" s="33"/>
      <c r="N55" s="45">
        <f t="shared" si="4"/>
        <v>8900.9266280994634</v>
      </c>
    </row>
    <row r="56" spans="1:14" s="5" customFormat="1" ht="13.5" customHeight="1">
      <c r="A56" s="263">
        <v>45255</v>
      </c>
      <c r="B56" s="433" t="s">
        <v>885</v>
      </c>
      <c r="C56" s="373"/>
      <c r="D56" s="37">
        <v>11</v>
      </c>
      <c r="E56" s="37" t="s">
        <v>62</v>
      </c>
      <c r="F56" s="355"/>
      <c r="G56" s="375"/>
      <c r="H56" s="33"/>
      <c r="I56" s="38">
        <v>1010</v>
      </c>
      <c r="J56" s="431">
        <f>I56/'통장내역(환율표)'!$D$132</f>
        <v>138.7944195177881</v>
      </c>
      <c r="K56" s="271">
        <f t="shared" si="2"/>
        <v>376492.81000000064</v>
      </c>
      <c r="L56" s="271">
        <f t="shared" si="3"/>
        <v>51744.12866777771</v>
      </c>
      <c r="M56" s="33"/>
      <c r="N56" s="45">
        <f t="shared" si="4"/>
        <v>8762.1322085816755</v>
      </c>
    </row>
    <row r="57" spans="1:14" s="5" customFormat="1" ht="13.5" customHeight="1">
      <c r="A57" s="263">
        <v>45255</v>
      </c>
      <c r="B57" s="321" t="s">
        <v>250</v>
      </c>
      <c r="C57" s="373"/>
      <c r="D57" s="37">
        <v>12</v>
      </c>
      <c r="E57" s="37" t="s">
        <v>62</v>
      </c>
      <c r="F57" s="355"/>
      <c r="G57" s="375"/>
      <c r="H57" s="33"/>
      <c r="I57" s="38">
        <v>3.6</v>
      </c>
      <c r="J57" s="431">
        <f>I57/'통장내역(환율표)'!$D$132</f>
        <v>0.49471278243964079</v>
      </c>
      <c r="K57" s="271">
        <f t="shared" si="2"/>
        <v>376489.21000000066</v>
      </c>
      <c r="L57" s="271">
        <f t="shared" si="3"/>
        <v>51743.633954995268</v>
      </c>
      <c r="M57" s="33"/>
      <c r="N57" s="45">
        <f t="shared" si="4"/>
        <v>8761.6374957992357</v>
      </c>
    </row>
    <row r="58" spans="1:14" s="5" customFormat="1" ht="13.5" customHeight="1">
      <c r="A58" s="263">
        <v>45255</v>
      </c>
      <c r="B58" s="373" t="s">
        <v>1005</v>
      </c>
      <c r="C58" s="373"/>
      <c r="D58" s="37">
        <v>13</v>
      </c>
      <c r="E58" s="37" t="s">
        <v>13</v>
      </c>
      <c r="F58" s="355" t="s">
        <v>14</v>
      </c>
      <c r="G58" s="375"/>
      <c r="H58" s="33"/>
      <c r="I58" s="278">
        <v>2992</v>
      </c>
      <c r="J58" s="431">
        <f>I58/'통장내역(환율표)'!$D$132</f>
        <v>411.16129029427924</v>
      </c>
      <c r="K58" s="271">
        <f t="shared" si="2"/>
        <v>373497.21000000066</v>
      </c>
      <c r="L58" s="271">
        <f t="shared" si="3"/>
        <v>51332.472664700988</v>
      </c>
      <c r="M58" s="291"/>
      <c r="N58" s="45">
        <f t="shared" si="4"/>
        <v>8350.4762055049559</v>
      </c>
    </row>
    <row r="59" spans="1:14" s="5" customFormat="1" ht="13.5" customHeight="1">
      <c r="A59" s="263">
        <v>45255</v>
      </c>
      <c r="B59" s="373" t="s">
        <v>1003</v>
      </c>
      <c r="C59" s="373"/>
      <c r="D59" s="37">
        <v>14</v>
      </c>
      <c r="E59" s="37" t="s">
        <v>13</v>
      </c>
      <c r="F59" s="355" t="s">
        <v>14</v>
      </c>
      <c r="G59" s="375"/>
      <c r="H59" s="33"/>
      <c r="I59" s="278">
        <v>1023</v>
      </c>
      <c r="J59" s="431">
        <f>I59/'통장내역(환율표)'!$D$132</f>
        <v>140.58088234326459</v>
      </c>
      <c r="K59" s="271">
        <f t="shared" si="2"/>
        <v>372474.21000000066</v>
      </c>
      <c r="L59" s="271">
        <f t="shared" si="3"/>
        <v>51191.891782357721</v>
      </c>
      <c r="M59" s="291"/>
      <c r="N59" s="45">
        <f t="shared" si="4"/>
        <v>8209.8953231616906</v>
      </c>
    </row>
    <row r="60" spans="1:14" s="5" customFormat="1" ht="13.5" customHeight="1">
      <c r="A60" s="263">
        <v>45255</v>
      </c>
      <c r="B60" s="373" t="s">
        <v>1004</v>
      </c>
      <c r="C60" s="373"/>
      <c r="D60" s="37">
        <v>15</v>
      </c>
      <c r="E60" s="37" t="s">
        <v>13</v>
      </c>
      <c r="F60" s="355" t="s">
        <v>14</v>
      </c>
      <c r="G60" s="375"/>
      <c r="H60" s="33"/>
      <c r="I60" s="278">
        <v>658</v>
      </c>
      <c r="J60" s="431">
        <f>I60/'통장내역(환율표)'!$D$132</f>
        <v>90.422503012578787</v>
      </c>
      <c r="K60" s="271">
        <f t="shared" si="2"/>
        <v>371816.21000000066</v>
      </c>
      <c r="L60" s="271">
        <f t="shared" si="3"/>
        <v>51101.46927934514</v>
      </c>
      <c r="M60" s="291"/>
      <c r="N60" s="45">
        <f t="shared" si="4"/>
        <v>8119.4728201491116</v>
      </c>
    </row>
    <row r="61" spans="1:14" s="5" customFormat="1" ht="13.5" customHeight="1">
      <c r="A61" s="263">
        <v>45255</v>
      </c>
      <c r="B61" s="321" t="s">
        <v>250</v>
      </c>
      <c r="C61" s="373"/>
      <c r="D61" s="37">
        <v>16</v>
      </c>
      <c r="E61" s="37" t="s">
        <v>62</v>
      </c>
      <c r="F61" s="355"/>
      <c r="G61" s="375"/>
      <c r="H61" s="33"/>
      <c r="I61" s="278">
        <v>3.6</v>
      </c>
      <c r="J61" s="431">
        <f>I61/'통장내역(환율표)'!$D$132</f>
        <v>0.49471278243964079</v>
      </c>
      <c r="K61" s="271">
        <f t="shared" si="2"/>
        <v>371812.61000000068</v>
      </c>
      <c r="L61" s="271">
        <f t="shared" si="3"/>
        <v>51100.974566562698</v>
      </c>
      <c r="M61" s="291"/>
      <c r="N61" s="45">
        <f t="shared" si="4"/>
        <v>8118.9781073666718</v>
      </c>
    </row>
    <row r="62" spans="1:14" s="5" customFormat="1" ht="13.5" customHeight="1">
      <c r="A62" s="263">
        <v>45255</v>
      </c>
      <c r="B62" s="433" t="s">
        <v>1008</v>
      </c>
      <c r="C62" s="373"/>
      <c r="D62" s="37">
        <v>17</v>
      </c>
      <c r="E62" s="37" t="s">
        <v>13</v>
      </c>
      <c r="F62" s="355" t="s">
        <v>14</v>
      </c>
      <c r="G62" s="375"/>
      <c r="H62" s="33"/>
      <c r="I62" s="278">
        <v>3808.7</v>
      </c>
      <c r="J62" s="431">
        <f>I62/'통장내역(환율표)'!$D$132</f>
        <v>523.39238179940548</v>
      </c>
      <c r="K62" s="271">
        <f t="shared" si="2"/>
        <v>368003.91000000067</v>
      </c>
      <c r="L62" s="271">
        <f t="shared" si="3"/>
        <v>50577.582184763291</v>
      </c>
      <c r="M62" s="291"/>
      <c r="N62" s="45">
        <f t="shared" si="4"/>
        <v>7595.5857255672663</v>
      </c>
    </row>
    <row r="63" spans="1:14" s="5" customFormat="1" ht="13.5" customHeight="1">
      <c r="A63" s="263">
        <v>45255</v>
      </c>
      <c r="B63" s="433" t="s">
        <v>1006</v>
      </c>
      <c r="C63" s="373"/>
      <c r="D63" s="37">
        <v>18</v>
      </c>
      <c r="E63" s="37" t="s">
        <v>13</v>
      </c>
      <c r="F63" s="355" t="s">
        <v>14</v>
      </c>
      <c r="G63" s="375"/>
      <c r="H63" s="33"/>
      <c r="I63" s="278">
        <v>1339.23</v>
      </c>
      <c r="J63" s="431">
        <f>I63/'통장내역(환율표)'!$D$132</f>
        <v>184.0372776740667</v>
      </c>
      <c r="K63" s="271">
        <f t="shared" si="2"/>
        <v>366664.68000000069</v>
      </c>
      <c r="L63" s="271">
        <f t="shared" si="3"/>
        <v>50393.544907089221</v>
      </c>
      <c r="M63" s="291"/>
      <c r="N63" s="45">
        <f t="shared" si="4"/>
        <v>7411.5484478931994</v>
      </c>
    </row>
    <row r="64" spans="1:14" s="5" customFormat="1" ht="13.5" customHeight="1">
      <c r="A64" s="263">
        <v>45255</v>
      </c>
      <c r="B64" s="433" t="s">
        <v>1007</v>
      </c>
      <c r="C64" s="373"/>
      <c r="D64" s="37">
        <v>19</v>
      </c>
      <c r="E64" s="37" t="s">
        <v>13</v>
      </c>
      <c r="F64" s="355" t="s">
        <v>14</v>
      </c>
      <c r="G64" s="375"/>
      <c r="H64" s="33"/>
      <c r="I64" s="278">
        <v>484</v>
      </c>
      <c r="J64" s="431">
        <f>I64/'통장내역(환율표)'!$D$132</f>
        <v>66.511385194662822</v>
      </c>
      <c r="K64" s="271">
        <f t="shared" si="2"/>
        <v>366180.68000000069</v>
      </c>
      <c r="L64" s="271">
        <f t="shared" si="3"/>
        <v>50327.033521894555</v>
      </c>
      <c r="M64" s="291"/>
      <c r="N64" s="45">
        <f t="shared" si="4"/>
        <v>7345.0370626985368</v>
      </c>
    </row>
    <row r="65" spans="1:14" s="5" customFormat="1" ht="13.5" customHeight="1">
      <c r="A65" s="263">
        <v>45255</v>
      </c>
      <c r="B65" s="321" t="s">
        <v>250</v>
      </c>
      <c r="C65" s="373"/>
      <c r="D65" s="37">
        <v>20</v>
      </c>
      <c r="E65" s="37" t="s">
        <v>62</v>
      </c>
      <c r="F65" s="355"/>
      <c r="G65" s="375"/>
      <c r="H65" s="33"/>
      <c r="I65" s="278">
        <v>3.6</v>
      </c>
      <c r="J65" s="431">
        <f>I65/'통장내역(환율표)'!$D$132</f>
        <v>0.49471278243964079</v>
      </c>
      <c r="K65" s="271">
        <f t="shared" si="2"/>
        <v>366177.08000000071</v>
      </c>
      <c r="L65" s="271">
        <f t="shared" si="3"/>
        <v>50326.538809112113</v>
      </c>
      <c r="M65" s="291"/>
      <c r="N65" s="45">
        <f t="shared" si="4"/>
        <v>7344.542349916097</v>
      </c>
    </row>
    <row r="66" spans="1:14" s="5" customFormat="1" ht="13.5" customHeight="1">
      <c r="A66" s="263">
        <v>45255</v>
      </c>
      <c r="B66" s="321" t="s">
        <v>1009</v>
      </c>
      <c r="C66" s="373"/>
      <c r="D66" s="37">
        <v>21</v>
      </c>
      <c r="E66" s="37" t="s">
        <v>13</v>
      </c>
      <c r="F66" s="355" t="s">
        <v>14</v>
      </c>
      <c r="G66" s="375"/>
      <c r="H66" s="33"/>
      <c r="I66" s="278">
        <v>777</v>
      </c>
      <c r="J66" s="431">
        <f>I66/'통장내역(환율표)'!$D$132</f>
        <v>106.7755088765558</v>
      </c>
      <c r="K66" s="271">
        <f t="shared" si="2"/>
        <v>365400.08000000071</v>
      </c>
      <c r="L66" s="271">
        <f t="shared" si="3"/>
        <v>50219.763300235558</v>
      </c>
      <c r="M66" s="291"/>
      <c r="N66" s="45">
        <f t="shared" si="4"/>
        <v>7237.7668410395409</v>
      </c>
    </row>
    <row r="67" spans="1:14" s="5" customFormat="1" ht="13.5" customHeight="1">
      <c r="A67" s="263">
        <v>45255</v>
      </c>
      <c r="B67" s="321" t="s">
        <v>1010</v>
      </c>
      <c r="C67" s="373"/>
      <c r="D67" s="37">
        <v>21</v>
      </c>
      <c r="E67" s="37" t="s">
        <v>13</v>
      </c>
      <c r="F67" s="355" t="s">
        <v>14</v>
      </c>
      <c r="G67" s="375"/>
      <c r="H67" s="33"/>
      <c r="I67" s="278">
        <v>35</v>
      </c>
      <c r="J67" s="431">
        <f>I67/'통장내역(환율표)'!$D$132</f>
        <v>4.8097076070520632</v>
      </c>
      <c r="K67" s="271">
        <f t="shared" si="2"/>
        <v>365365.08000000071</v>
      </c>
      <c r="L67" s="271">
        <f t="shared" si="3"/>
        <v>50214.953592628503</v>
      </c>
      <c r="M67" s="291"/>
      <c r="N67" s="45">
        <f t="shared" si="4"/>
        <v>7232.9571334324892</v>
      </c>
    </row>
    <row r="68" spans="1:14" s="5" customFormat="1" ht="13.5" customHeight="1">
      <c r="A68" s="263">
        <v>45255</v>
      </c>
      <c r="B68" s="321" t="s">
        <v>1011</v>
      </c>
      <c r="C68" s="373"/>
      <c r="D68" s="37">
        <v>22</v>
      </c>
      <c r="E68" s="37" t="s">
        <v>13</v>
      </c>
      <c r="F68" s="355" t="s">
        <v>14</v>
      </c>
      <c r="G68" s="375"/>
      <c r="H68" s="33"/>
      <c r="I68" s="278">
        <v>1564</v>
      </c>
      <c r="J68" s="431">
        <f>I68/'통장내역(환율표)'!$D$132</f>
        <v>214.92521992655506</v>
      </c>
      <c r="K68" s="271">
        <f t="shared" si="2"/>
        <v>363801.08000000071</v>
      </c>
      <c r="L68" s="271">
        <f t="shared" si="3"/>
        <v>50000.028372701949</v>
      </c>
      <c r="M68" s="291"/>
      <c r="N68" s="45">
        <f t="shared" si="4"/>
        <v>7018.0319135059344</v>
      </c>
    </row>
    <row r="69" spans="1:14" s="5" customFormat="1" ht="13.5" customHeight="1">
      <c r="A69" s="263">
        <v>45255</v>
      </c>
      <c r="B69" s="321" t="s">
        <v>1012</v>
      </c>
      <c r="C69" s="373"/>
      <c r="D69" s="37">
        <v>23</v>
      </c>
      <c r="E69" s="37" t="s">
        <v>13</v>
      </c>
      <c r="F69" s="355" t="s">
        <v>14</v>
      </c>
      <c r="G69" s="375"/>
      <c r="H69" s="33"/>
      <c r="I69" s="278">
        <v>1997</v>
      </c>
      <c r="J69" s="431">
        <f>I69/'통장내역(환율표)'!$D$132</f>
        <v>274.42817403665629</v>
      </c>
      <c r="K69" s="271">
        <f t="shared" si="2"/>
        <v>361804.08000000071</v>
      </c>
      <c r="L69" s="271">
        <f t="shared" si="3"/>
        <v>49725.600198665292</v>
      </c>
      <c r="M69" s="291"/>
      <c r="N69" s="45">
        <f t="shared" si="4"/>
        <v>6743.6037394692785</v>
      </c>
    </row>
    <row r="70" spans="1:14" s="5" customFormat="1" ht="13.5" customHeight="1">
      <c r="A70" s="263">
        <v>45255</v>
      </c>
      <c r="B70" s="321" t="s">
        <v>1013</v>
      </c>
      <c r="C70" s="373"/>
      <c r="D70" s="37">
        <v>24</v>
      </c>
      <c r="E70" s="37" t="s">
        <v>13</v>
      </c>
      <c r="F70" s="355" t="s">
        <v>14</v>
      </c>
      <c r="G70" s="375"/>
      <c r="H70" s="33"/>
      <c r="I70" s="278">
        <v>1255</v>
      </c>
      <c r="J70" s="431">
        <f>I70/'통장내역(환율표)'!$D$132</f>
        <v>172.46237276715254</v>
      </c>
      <c r="K70" s="271">
        <f t="shared" si="2"/>
        <v>360549.08000000071</v>
      </c>
      <c r="L70" s="271">
        <f t="shared" si="3"/>
        <v>49553.137825898142</v>
      </c>
      <c r="M70" s="291"/>
      <c r="N70" s="45">
        <f t="shared" si="4"/>
        <v>6571.1413667021261</v>
      </c>
    </row>
    <row r="71" spans="1:14" s="5" customFormat="1" ht="13.5" customHeight="1">
      <c r="A71" s="263">
        <v>45255</v>
      </c>
      <c r="B71" s="321" t="s">
        <v>1014</v>
      </c>
      <c r="C71" s="373"/>
      <c r="D71" s="37">
        <v>25</v>
      </c>
      <c r="E71" s="37" t="s">
        <v>13</v>
      </c>
      <c r="F71" s="355" t="s">
        <v>14</v>
      </c>
      <c r="G71" s="375"/>
      <c r="H71" s="33"/>
      <c r="I71" s="278">
        <v>2580</v>
      </c>
      <c r="J71" s="431">
        <f>I71/'통장내역(환율표)'!$D$132</f>
        <v>354.54416074840924</v>
      </c>
      <c r="K71" s="271">
        <f t="shared" si="2"/>
        <v>357969.08000000071</v>
      </c>
      <c r="L71" s="271">
        <f t="shared" si="3"/>
        <v>49198.593665149732</v>
      </c>
      <c r="M71" s="291"/>
      <c r="N71" s="45">
        <f t="shared" si="4"/>
        <v>6216.5972059537171</v>
      </c>
    </row>
    <row r="72" spans="1:14" s="5" customFormat="1" ht="13.5" customHeight="1">
      <c r="A72" s="263">
        <v>45255</v>
      </c>
      <c r="B72" s="321" t="s">
        <v>1015</v>
      </c>
      <c r="C72" s="373"/>
      <c r="D72" s="37">
        <v>26</v>
      </c>
      <c r="E72" s="37" t="s">
        <v>13</v>
      </c>
      <c r="F72" s="355" t="s">
        <v>14</v>
      </c>
      <c r="G72" s="375"/>
      <c r="H72" s="33"/>
      <c r="I72" s="278">
        <v>3411</v>
      </c>
      <c r="J72" s="431">
        <f>I72/'통장내역(환율표)'!$D$132</f>
        <v>468.74036136155962</v>
      </c>
      <c r="K72" s="271">
        <f t="shared" si="2"/>
        <v>354558.08000000071</v>
      </c>
      <c r="L72" s="271">
        <f t="shared" si="3"/>
        <v>48729.853303788172</v>
      </c>
      <c r="M72" s="291"/>
      <c r="N72" s="45">
        <f t="shared" si="4"/>
        <v>5747.8568445921574</v>
      </c>
    </row>
    <row r="73" spans="1:14" s="5" customFormat="1" ht="13.5" customHeight="1">
      <c r="A73" s="263">
        <v>45255</v>
      </c>
      <c r="B73" s="321" t="s">
        <v>1016</v>
      </c>
      <c r="C73" s="373"/>
      <c r="D73" s="37">
        <v>27</v>
      </c>
      <c r="E73" s="37" t="s">
        <v>62</v>
      </c>
      <c r="F73" s="355"/>
      <c r="G73" s="375"/>
      <c r="H73" s="33"/>
      <c r="I73" s="278">
        <v>459.85</v>
      </c>
      <c r="J73" s="431">
        <f>I73/'통장내역(환율표)'!$D$132</f>
        <v>63.192686945796893</v>
      </c>
      <c r="K73" s="271">
        <f t="shared" si="2"/>
        <v>354098.23000000074</v>
      </c>
      <c r="L73" s="271">
        <f t="shared" si="3"/>
        <v>48666.660616842375</v>
      </c>
      <c r="M73" s="291"/>
      <c r="N73" s="45">
        <f t="shared" si="4"/>
        <v>5684.6641576463608</v>
      </c>
    </row>
    <row r="74" spans="1:14" s="5" customFormat="1" ht="13.5" customHeight="1">
      <c r="A74" s="263">
        <v>45255</v>
      </c>
      <c r="B74" s="321" t="s">
        <v>1017</v>
      </c>
      <c r="C74" s="373"/>
      <c r="D74" s="37">
        <v>28</v>
      </c>
      <c r="E74" s="37" t="s">
        <v>13</v>
      </c>
      <c r="F74" s="355" t="s">
        <v>14</v>
      </c>
      <c r="G74" s="375"/>
      <c r="H74" s="33"/>
      <c r="I74" s="278">
        <v>2191.5</v>
      </c>
      <c r="J74" s="431">
        <f>I74/'통장내역(환율표)'!$D$132</f>
        <v>301.15640631013133</v>
      </c>
      <c r="K74" s="271">
        <f t="shared" si="2"/>
        <v>351906.73000000074</v>
      </c>
      <c r="L74" s="271">
        <f t="shared" si="3"/>
        <v>48365.504210532243</v>
      </c>
      <c r="M74" s="291"/>
      <c r="N74" s="45">
        <f t="shared" si="4"/>
        <v>5383.5077513362294</v>
      </c>
    </row>
    <row r="75" spans="1:14" s="5" customFormat="1" ht="13.5" customHeight="1">
      <c r="A75" s="263">
        <v>45255</v>
      </c>
      <c r="B75" s="321" t="s">
        <v>250</v>
      </c>
      <c r="C75" s="373"/>
      <c r="D75" s="492">
        <v>29</v>
      </c>
      <c r="E75" s="37" t="s">
        <v>62</v>
      </c>
      <c r="F75" s="355"/>
      <c r="G75" s="375"/>
      <c r="H75" s="33"/>
      <c r="I75" s="278">
        <v>7.2</v>
      </c>
      <c r="J75" s="431">
        <f>I75/'통장내역(환율표)'!$D$132</f>
        <v>0.98942556487928157</v>
      </c>
      <c r="K75" s="271">
        <f t="shared" si="2"/>
        <v>351899.53000000073</v>
      </c>
      <c r="L75" s="271">
        <f t="shared" si="3"/>
        <v>48364.514784967367</v>
      </c>
      <c r="M75" s="291"/>
      <c r="N75" s="45">
        <f t="shared" si="4"/>
        <v>5382.5183257713497</v>
      </c>
    </row>
    <row r="76" spans="1:14" s="5" customFormat="1" ht="13.5" customHeight="1">
      <c r="A76" s="263">
        <v>45255</v>
      </c>
      <c r="B76" s="321" t="s">
        <v>1018</v>
      </c>
      <c r="C76" s="373"/>
      <c r="D76" s="492">
        <v>30</v>
      </c>
      <c r="E76" s="37" t="s">
        <v>13</v>
      </c>
      <c r="F76" s="355" t="s">
        <v>14</v>
      </c>
      <c r="G76" s="375"/>
      <c r="H76" s="33"/>
      <c r="I76" s="278">
        <v>3970</v>
      </c>
      <c r="J76" s="431">
        <f>I76/'통장내역(환율표)'!$D$132</f>
        <v>545.55826285704836</v>
      </c>
      <c r="K76" s="271">
        <f t="shared" si="2"/>
        <v>347929.53000000073</v>
      </c>
      <c r="L76" s="271">
        <f t="shared" si="3"/>
        <v>47818.956522110318</v>
      </c>
      <c r="M76" s="291"/>
      <c r="N76" s="45">
        <f t="shared" si="4"/>
        <v>4836.9600629143015</v>
      </c>
    </row>
    <row r="77" spans="1:14" s="5" customFormat="1" ht="13.5" customHeight="1">
      <c r="A77" s="263">
        <v>45255</v>
      </c>
      <c r="B77" s="321" t="s">
        <v>1019</v>
      </c>
      <c r="C77" s="373"/>
      <c r="D77" s="492">
        <v>31</v>
      </c>
      <c r="E77" s="37" t="s">
        <v>13</v>
      </c>
      <c r="F77" s="355" t="s">
        <v>14</v>
      </c>
      <c r="G77" s="375"/>
      <c r="H77" s="33"/>
      <c r="I77" s="278">
        <v>1625</v>
      </c>
      <c r="J77" s="431">
        <f>I77/'통장내역(환율표)'!$D$132</f>
        <v>223.30785318456009</v>
      </c>
      <c r="K77" s="271">
        <f t="shared" si="2"/>
        <v>346304.53000000073</v>
      </c>
      <c r="L77" s="271">
        <f t="shared" si="3"/>
        <v>47595.648668925758</v>
      </c>
      <c r="M77" s="291"/>
      <c r="N77" s="45">
        <f t="shared" si="4"/>
        <v>4613.6522097297411</v>
      </c>
    </row>
    <row r="78" spans="1:14" s="5" customFormat="1" ht="13.5" customHeight="1">
      <c r="A78" s="263">
        <v>45255</v>
      </c>
      <c r="B78" s="321" t="s">
        <v>1018</v>
      </c>
      <c r="C78" s="373"/>
      <c r="D78" s="492">
        <v>32</v>
      </c>
      <c r="E78" s="37" t="s">
        <v>13</v>
      </c>
      <c r="F78" s="355" t="s">
        <v>14</v>
      </c>
      <c r="G78" s="375"/>
      <c r="H78" s="33"/>
      <c r="I78" s="278">
        <v>2650</v>
      </c>
      <c r="J78" s="431">
        <f>I78/'통장내역(환율표)'!$D$132</f>
        <v>364.16357596251333</v>
      </c>
      <c r="K78" s="271">
        <f t="shared" si="2"/>
        <v>343654.53000000073</v>
      </c>
      <c r="L78" s="271">
        <f t="shared" si="3"/>
        <v>47231.485092963245</v>
      </c>
      <c r="M78" s="291"/>
      <c r="N78" s="45">
        <f t="shared" si="4"/>
        <v>4249.4886337672278</v>
      </c>
    </row>
    <row r="79" spans="1:14" s="5" customFormat="1" ht="13.5" customHeight="1">
      <c r="A79" s="263">
        <v>45255</v>
      </c>
      <c r="B79" s="321" t="s">
        <v>1019</v>
      </c>
      <c r="C79" s="373"/>
      <c r="D79" s="492">
        <v>33</v>
      </c>
      <c r="E79" s="37" t="s">
        <v>13</v>
      </c>
      <c r="F79" s="355" t="s">
        <v>14</v>
      </c>
      <c r="G79" s="375"/>
      <c r="H79" s="33"/>
      <c r="I79" s="278">
        <v>1789</v>
      </c>
      <c r="J79" s="431">
        <f>I79/'통장내역(환율표)'!$D$132</f>
        <v>245.8447688290326</v>
      </c>
      <c r="K79" s="271">
        <f t="shared" si="2"/>
        <v>341865.53000000073</v>
      </c>
      <c r="L79" s="271">
        <f t="shared" si="3"/>
        <v>46985.640324134212</v>
      </c>
      <c r="M79" s="291"/>
      <c r="N79" s="45">
        <f t="shared" si="4"/>
        <v>4003.6438649381953</v>
      </c>
    </row>
    <row r="80" spans="1:14" s="5" customFormat="1" ht="13.5" customHeight="1">
      <c r="A80" s="263">
        <v>45255</v>
      </c>
      <c r="B80" s="321" t="s">
        <v>1017</v>
      </c>
      <c r="C80" s="373"/>
      <c r="D80" s="492">
        <v>34</v>
      </c>
      <c r="E80" s="37" t="s">
        <v>13</v>
      </c>
      <c r="F80" s="355" t="s">
        <v>14</v>
      </c>
      <c r="G80" s="375"/>
      <c r="H80" s="33"/>
      <c r="I80" s="278">
        <v>2582.08</v>
      </c>
      <c r="J80" s="431">
        <f>I80/'통장내역(환율표)'!$D$132</f>
        <v>354.82999480048545</v>
      </c>
      <c r="K80" s="271">
        <f t="shared" si="2"/>
        <v>339283.45000000071</v>
      </c>
      <c r="L80" s="271">
        <f t="shared" si="3"/>
        <v>46630.810329333726</v>
      </c>
      <c r="M80" s="291"/>
      <c r="N80" s="45">
        <f t="shared" si="4"/>
        <v>3648.8138701377097</v>
      </c>
    </row>
    <row r="81" spans="1:14" s="5" customFormat="1" ht="13.5" customHeight="1">
      <c r="A81" s="263">
        <v>45255</v>
      </c>
      <c r="B81" s="321" t="s">
        <v>1016</v>
      </c>
      <c r="C81" s="373"/>
      <c r="D81" s="492">
        <v>35</v>
      </c>
      <c r="E81" s="37" t="s">
        <v>62</v>
      </c>
      <c r="F81" s="355"/>
      <c r="G81" s="375"/>
      <c r="H81" s="33"/>
      <c r="I81" s="278">
        <v>512.29999999999995</v>
      </c>
      <c r="J81" s="431">
        <f>I81/'통장내역(환율표)'!$D$132</f>
        <v>70.400377345507763</v>
      </c>
      <c r="K81" s="271">
        <f t="shared" si="2"/>
        <v>338771.15000000072</v>
      </c>
      <c r="L81" s="271">
        <f t="shared" si="3"/>
        <v>46560.409951988222</v>
      </c>
      <c r="M81" s="291"/>
      <c r="N81" s="45">
        <f t="shared" si="4"/>
        <v>3578.4134927922019</v>
      </c>
    </row>
    <row r="82" spans="1:14" s="5" customFormat="1" ht="13.5" customHeight="1">
      <c r="A82" s="263">
        <v>45255</v>
      </c>
      <c r="B82" s="321" t="s">
        <v>1020</v>
      </c>
      <c r="C82" s="373"/>
      <c r="D82" s="492">
        <v>36</v>
      </c>
      <c r="E82" s="37" t="s">
        <v>116</v>
      </c>
      <c r="F82" s="355" t="s">
        <v>140</v>
      </c>
      <c r="G82" s="375"/>
      <c r="H82" s="33"/>
      <c r="I82" s="278">
        <v>108.5</v>
      </c>
      <c r="J82" s="431">
        <f>I82/'통장내역(환율표)'!$D$132</f>
        <v>14.910093581861396</v>
      </c>
      <c r="K82" s="271">
        <f t="shared" si="2"/>
        <v>338662.65000000072</v>
      </c>
      <c r="L82" s="271">
        <f t="shared" si="3"/>
        <v>46545.499858406358</v>
      </c>
      <c r="M82" s="291"/>
      <c r="N82" s="45">
        <f t="shared" si="4"/>
        <v>3563.5033992103404</v>
      </c>
    </row>
    <row r="83" spans="1:14" s="5" customFormat="1" ht="13.5" customHeight="1">
      <c r="A83" s="263">
        <v>45255</v>
      </c>
      <c r="B83" s="321" t="s">
        <v>250</v>
      </c>
      <c r="C83" s="373"/>
      <c r="D83" s="492">
        <v>37</v>
      </c>
      <c r="E83" s="37" t="s">
        <v>62</v>
      </c>
      <c r="F83" s="355"/>
      <c r="G83" s="375"/>
      <c r="H83" s="33"/>
      <c r="I83" s="278">
        <v>7.2</v>
      </c>
      <c r="J83" s="431">
        <f>I83/'통장내역(환율표)'!$D$132</f>
        <v>0.98942556487928157</v>
      </c>
      <c r="K83" s="271">
        <f t="shared" si="2"/>
        <v>338655.45000000071</v>
      </c>
      <c r="L83" s="271">
        <f t="shared" si="3"/>
        <v>46544.510432841482</v>
      </c>
      <c r="M83" s="291"/>
      <c r="N83" s="45">
        <f t="shared" si="4"/>
        <v>3562.5139736454612</v>
      </c>
    </row>
    <row r="84" spans="1:14" s="5" customFormat="1" ht="13.5" customHeight="1">
      <c r="A84" s="263">
        <v>45255</v>
      </c>
      <c r="B84" s="321" t="s">
        <v>1021</v>
      </c>
      <c r="C84" s="373"/>
      <c r="D84" s="492">
        <v>38</v>
      </c>
      <c r="E84" s="37" t="s">
        <v>13</v>
      </c>
      <c r="F84" s="355" t="s">
        <v>14</v>
      </c>
      <c r="G84" s="375"/>
      <c r="H84" s="33"/>
      <c r="I84" s="278">
        <v>2715</v>
      </c>
      <c r="J84" s="431">
        <f>I84/'통장내역(환율표)'!$D$132</f>
        <v>373.09589008989576</v>
      </c>
      <c r="K84" s="271">
        <f t="shared" si="2"/>
        <v>335940.45000000071</v>
      </c>
      <c r="L84" s="271">
        <f t="shared" si="3"/>
        <v>46171.414542751583</v>
      </c>
      <c r="M84" s="291"/>
      <c r="N84" s="45">
        <f t="shared" si="4"/>
        <v>3189.4180835555653</v>
      </c>
    </row>
    <row r="85" spans="1:14" s="5" customFormat="1" ht="13.5" customHeight="1">
      <c r="A85" s="263">
        <v>45255</v>
      </c>
      <c r="B85" s="321" t="s">
        <v>1022</v>
      </c>
      <c r="C85" s="373"/>
      <c r="D85" s="492">
        <v>39</v>
      </c>
      <c r="E85" s="37" t="s">
        <v>13</v>
      </c>
      <c r="F85" s="355" t="s">
        <v>14</v>
      </c>
      <c r="G85" s="375"/>
      <c r="H85" s="33"/>
      <c r="I85" s="278">
        <v>919.99</v>
      </c>
      <c r="J85" s="431">
        <f>I85/'통장내역(환율표)'!$D$132</f>
        <v>126.42522575462365</v>
      </c>
      <c r="K85" s="271">
        <f t="shared" ref="K85:K98" si="5">K84+G85-I85</f>
        <v>335020.46000000072</v>
      </c>
      <c r="L85" s="271">
        <f t="shared" ref="L85:L98" si="6">L84+H85-J85</f>
        <v>46044.989316996958</v>
      </c>
      <c r="M85" s="291"/>
      <c r="N85" s="45">
        <f t="shared" si="4"/>
        <v>3062.9928578009417</v>
      </c>
    </row>
    <row r="86" spans="1:14" s="5" customFormat="1" ht="13.5" customHeight="1">
      <c r="A86" s="263">
        <v>45255</v>
      </c>
      <c r="B86" s="321" t="s">
        <v>1023</v>
      </c>
      <c r="C86" s="373"/>
      <c r="D86" s="492">
        <v>40</v>
      </c>
      <c r="E86" s="37" t="s">
        <v>13</v>
      </c>
      <c r="F86" s="355" t="s">
        <v>14</v>
      </c>
      <c r="G86" s="375"/>
      <c r="H86" s="33"/>
      <c r="I86" s="278">
        <v>651.15</v>
      </c>
      <c r="J86" s="431">
        <f>I86/'통장내역(환율표)'!$D$132</f>
        <v>89.481174523770022</v>
      </c>
      <c r="K86" s="271">
        <f t="shared" si="5"/>
        <v>334369.3100000007</v>
      </c>
      <c r="L86" s="271">
        <f t="shared" si="6"/>
        <v>45955.508142473191</v>
      </c>
      <c r="M86" s="291"/>
      <c r="N86" s="45">
        <f t="shared" si="4"/>
        <v>2973.5116832771719</v>
      </c>
    </row>
    <row r="87" spans="1:14" s="5" customFormat="1" ht="13.5" customHeight="1">
      <c r="A87" s="263">
        <v>45255</v>
      </c>
      <c r="B87" s="321" t="s">
        <v>1024</v>
      </c>
      <c r="C87" s="373"/>
      <c r="D87" s="492">
        <v>41</v>
      </c>
      <c r="E87" s="37" t="s">
        <v>125</v>
      </c>
      <c r="F87" s="355" t="s">
        <v>145</v>
      </c>
      <c r="G87" s="375"/>
      <c r="H87" s="33"/>
      <c r="I87" s="278">
        <f>4942.4-201.6</f>
        <v>4740.7999999999993</v>
      </c>
      <c r="J87" s="431">
        <f>I87/'통장내역(환율표)'!$D$132</f>
        <v>651.48176638606913</v>
      </c>
      <c r="K87" s="271">
        <f t="shared" si="5"/>
        <v>329628.51000000071</v>
      </c>
      <c r="L87" s="271">
        <f t="shared" si="6"/>
        <v>45304.026376087124</v>
      </c>
      <c r="M87" s="291" t="s">
        <v>1033</v>
      </c>
      <c r="N87" s="45">
        <f t="shared" si="4"/>
        <v>2322.0299168911029</v>
      </c>
    </row>
    <row r="88" spans="1:14" s="5" customFormat="1" ht="13.5" customHeight="1">
      <c r="A88" s="263">
        <v>45255</v>
      </c>
      <c r="B88" s="321" t="s">
        <v>250</v>
      </c>
      <c r="C88" s="373"/>
      <c r="D88" s="492">
        <v>42</v>
      </c>
      <c r="E88" s="37" t="s">
        <v>62</v>
      </c>
      <c r="F88" s="355"/>
      <c r="G88" s="375"/>
      <c r="H88" s="33"/>
      <c r="I88" s="278">
        <v>3.6</v>
      </c>
      <c r="J88" s="431">
        <f>I88/'통장내역(환율표)'!$D$132</f>
        <v>0.49471278243964079</v>
      </c>
      <c r="K88" s="271">
        <f t="shared" si="5"/>
        <v>329624.91000000073</v>
      </c>
      <c r="L88" s="271">
        <f t="shared" si="6"/>
        <v>45303.531663304682</v>
      </c>
      <c r="M88" s="291"/>
      <c r="N88" s="45">
        <f t="shared" ref="N88:N98" si="7">N87-J88+H88</f>
        <v>2321.535204108663</v>
      </c>
    </row>
    <row r="89" spans="1:14" s="5" customFormat="1" ht="13.5" customHeight="1">
      <c r="A89" s="263">
        <v>45255</v>
      </c>
      <c r="B89" s="321" t="s">
        <v>1026</v>
      </c>
      <c r="C89" s="373"/>
      <c r="D89" s="492">
        <v>43</v>
      </c>
      <c r="E89" s="37" t="s">
        <v>13</v>
      </c>
      <c r="F89" s="355" t="s">
        <v>14</v>
      </c>
      <c r="G89" s="375"/>
      <c r="H89" s="33"/>
      <c r="I89" s="278">
        <v>2804</v>
      </c>
      <c r="J89" s="431">
        <f>I89/'통장내역(환율표)'!$D$132</f>
        <v>385.32628943354246</v>
      </c>
      <c r="K89" s="271">
        <f t="shared" si="5"/>
        <v>326820.91000000073</v>
      </c>
      <c r="L89" s="271">
        <f t="shared" si="6"/>
        <v>44918.20537387114</v>
      </c>
      <c r="M89" s="291"/>
      <c r="N89" s="45">
        <f t="shared" si="7"/>
        <v>1936.2089146751205</v>
      </c>
    </row>
    <row r="90" spans="1:14" s="5" customFormat="1" ht="13.5" customHeight="1">
      <c r="A90" s="263">
        <v>45255</v>
      </c>
      <c r="B90" s="321" t="s">
        <v>1025</v>
      </c>
      <c r="C90" s="373"/>
      <c r="D90" s="492">
        <v>44</v>
      </c>
      <c r="E90" s="37" t="s">
        <v>13</v>
      </c>
      <c r="F90" s="355" t="s">
        <v>14</v>
      </c>
      <c r="G90" s="375"/>
      <c r="H90" s="33"/>
      <c r="I90" s="278">
        <v>888.72</v>
      </c>
      <c r="J90" s="431">
        <f>I90/'통장내역(환율표)'!$D$132</f>
        <v>122.128095558266</v>
      </c>
      <c r="K90" s="271">
        <f t="shared" si="5"/>
        <v>325932.19000000076</v>
      </c>
      <c r="L90" s="271">
        <f t="shared" si="6"/>
        <v>44796.077278312878</v>
      </c>
      <c r="M90" s="291"/>
      <c r="N90" s="45">
        <f t="shared" si="7"/>
        <v>1814.0808191168544</v>
      </c>
    </row>
    <row r="91" spans="1:14" s="5" customFormat="1" ht="13.5" customHeight="1">
      <c r="A91" s="263">
        <v>45255</v>
      </c>
      <c r="B91" s="321" t="s">
        <v>250</v>
      </c>
      <c r="C91" s="373"/>
      <c r="D91" s="492">
        <v>45</v>
      </c>
      <c r="E91" s="37" t="s">
        <v>62</v>
      </c>
      <c r="F91" s="355"/>
      <c r="G91" s="375"/>
      <c r="H91" s="33"/>
      <c r="I91" s="278">
        <v>3.6</v>
      </c>
      <c r="J91" s="431">
        <f>I91/'통장내역(환율표)'!$D$132</f>
        <v>0.49471278243964079</v>
      </c>
      <c r="K91" s="271">
        <f t="shared" si="5"/>
        <v>325928.59000000078</v>
      </c>
      <c r="L91" s="271">
        <f t="shared" si="6"/>
        <v>44795.582565530436</v>
      </c>
      <c r="M91" s="291"/>
      <c r="N91" s="45">
        <f t="shared" si="7"/>
        <v>1813.5861063344148</v>
      </c>
    </row>
    <row r="92" spans="1:14" s="5" customFormat="1" ht="13.5" customHeight="1">
      <c r="A92" s="263">
        <v>45255</v>
      </c>
      <c r="B92" s="373" t="s">
        <v>738</v>
      </c>
      <c r="C92" s="373"/>
      <c r="D92" s="492">
        <v>46</v>
      </c>
      <c r="E92" s="37" t="s">
        <v>125</v>
      </c>
      <c r="F92" s="355" t="s">
        <v>145</v>
      </c>
      <c r="G92" s="375"/>
      <c r="H92" s="33"/>
      <c r="I92" s="278">
        <v>11250.33</v>
      </c>
      <c r="J92" s="431">
        <f>I92/'통장내역(환율표)'!$D$132</f>
        <v>1546.022793795601</v>
      </c>
      <c r="K92" s="271">
        <f t="shared" si="5"/>
        <v>314678.26000000077</v>
      </c>
      <c r="L92" s="271">
        <f t="shared" si="6"/>
        <v>43249.559771734836</v>
      </c>
      <c r="M92" s="291"/>
      <c r="N92" s="45">
        <f t="shared" si="7"/>
        <v>267.56331253881376</v>
      </c>
    </row>
    <row r="93" spans="1:14" s="5" customFormat="1" ht="13.5" customHeight="1">
      <c r="A93" s="263">
        <v>45255</v>
      </c>
      <c r="B93" s="321" t="s">
        <v>250</v>
      </c>
      <c r="C93" s="373"/>
      <c r="D93" s="492">
        <v>47</v>
      </c>
      <c r="E93" s="37" t="s">
        <v>62</v>
      </c>
      <c r="F93" s="355"/>
      <c r="G93" s="375"/>
      <c r="H93" s="33"/>
      <c r="I93" s="278">
        <v>7.2</v>
      </c>
      <c r="J93" s="431">
        <f>I93/'통장내역(환율표)'!$D$132</f>
        <v>0.98942556487928157</v>
      </c>
      <c r="K93" s="271">
        <f t="shared" si="5"/>
        <v>314671.06000000075</v>
      </c>
      <c r="L93" s="271">
        <f t="shared" si="6"/>
        <v>43248.57034616996</v>
      </c>
      <c r="M93" s="291"/>
      <c r="N93" s="45">
        <f t="shared" si="7"/>
        <v>266.57388697393446</v>
      </c>
    </row>
    <row r="94" spans="1:14" s="5" customFormat="1" ht="13.5" customHeight="1">
      <c r="A94" s="263">
        <v>45255</v>
      </c>
      <c r="B94" s="321" t="s">
        <v>997</v>
      </c>
      <c r="C94" s="373"/>
      <c r="D94" s="492">
        <v>48</v>
      </c>
      <c r="E94" s="37" t="s">
        <v>116</v>
      </c>
      <c r="F94" s="355" t="s">
        <v>140</v>
      </c>
      <c r="G94" s="375"/>
      <c r="H94" s="33"/>
      <c r="I94" s="278">
        <v>300</v>
      </c>
      <c r="J94" s="431">
        <f>I94/'통장내역(환율표)'!$D$132</f>
        <v>41.226065203303399</v>
      </c>
      <c r="K94" s="271">
        <f t="shared" si="5"/>
        <v>314371.06000000075</v>
      </c>
      <c r="L94" s="271">
        <f t="shared" si="6"/>
        <v>43207.344280966659</v>
      </c>
      <c r="M94" s="291"/>
      <c r="N94" s="45">
        <f t="shared" si="7"/>
        <v>225.34782177063107</v>
      </c>
    </row>
    <row r="95" spans="1:14" s="5" customFormat="1" ht="13.5" customHeight="1">
      <c r="A95" s="263">
        <v>45255</v>
      </c>
      <c r="B95" s="321" t="s">
        <v>250</v>
      </c>
      <c r="C95" s="373"/>
      <c r="D95" s="492">
        <v>49</v>
      </c>
      <c r="E95" s="37" t="s">
        <v>62</v>
      </c>
      <c r="F95" s="355"/>
      <c r="G95" s="375"/>
      <c r="H95" s="33"/>
      <c r="I95" s="278">
        <v>3.6</v>
      </c>
      <c r="J95" s="431">
        <f>I95/'통장내역(환율표)'!$D$132</f>
        <v>0.49471278243964079</v>
      </c>
      <c r="K95" s="271">
        <f t="shared" si="5"/>
        <v>314367.46000000078</v>
      </c>
      <c r="L95" s="271">
        <f t="shared" si="6"/>
        <v>43206.849568184218</v>
      </c>
      <c r="M95" s="291"/>
      <c r="N95" s="45">
        <f t="shared" si="7"/>
        <v>224.85310898819142</v>
      </c>
    </row>
    <row r="96" spans="1:14" s="5" customFormat="1" ht="13.5" customHeight="1">
      <c r="A96" s="263">
        <v>45255</v>
      </c>
      <c r="B96" s="343" t="s">
        <v>733</v>
      </c>
      <c r="C96" s="373"/>
      <c r="D96" s="492">
        <v>50</v>
      </c>
      <c r="E96" s="37" t="s">
        <v>13</v>
      </c>
      <c r="F96" s="355" t="s">
        <v>14</v>
      </c>
      <c r="G96" s="375"/>
      <c r="H96" s="33"/>
      <c r="I96" s="278">
        <v>211.39</v>
      </c>
      <c r="J96" s="431">
        <f>I96/'통장내역(환율표)'!$D$132</f>
        <v>29.049259744421018</v>
      </c>
      <c r="K96" s="271">
        <f t="shared" si="5"/>
        <v>314156.07000000076</v>
      </c>
      <c r="L96" s="271">
        <f t="shared" si="6"/>
        <v>43177.800308439793</v>
      </c>
      <c r="M96" s="375" t="s">
        <v>1034</v>
      </c>
      <c r="N96" s="45">
        <f t="shared" si="7"/>
        <v>195.8038492437704</v>
      </c>
    </row>
    <row r="97" spans="1:14" s="5" customFormat="1" ht="13.5" customHeight="1">
      <c r="A97" s="263">
        <v>45255</v>
      </c>
      <c r="B97" s="321" t="s">
        <v>250</v>
      </c>
      <c r="C97" s="373"/>
      <c r="D97" s="492">
        <v>51</v>
      </c>
      <c r="E97" s="37" t="s">
        <v>62</v>
      </c>
      <c r="F97" s="355"/>
      <c r="G97" s="375"/>
      <c r="H97" s="33"/>
      <c r="I97" s="278">
        <v>3.6</v>
      </c>
      <c r="J97" s="431">
        <f>I97/'통장내역(환율표)'!$D$132</f>
        <v>0.49471278243964079</v>
      </c>
      <c r="K97" s="271">
        <f t="shared" si="5"/>
        <v>314152.47000000079</v>
      </c>
      <c r="L97" s="271">
        <f t="shared" si="6"/>
        <v>43177.305595657352</v>
      </c>
      <c r="M97" s="291"/>
      <c r="N97" s="45">
        <f t="shared" si="7"/>
        <v>195.30913646133075</v>
      </c>
    </row>
    <row r="98" spans="1:14" s="5" customFormat="1" ht="13.5" customHeight="1">
      <c r="A98" s="496">
        <v>45255</v>
      </c>
      <c r="B98" s="497" t="s">
        <v>1038</v>
      </c>
      <c r="C98" s="498"/>
      <c r="D98" s="499">
        <v>52</v>
      </c>
      <c r="E98" s="295" t="s">
        <v>13</v>
      </c>
      <c r="F98" s="500" t="s">
        <v>14</v>
      </c>
      <c r="G98" s="501"/>
      <c r="H98" s="296"/>
      <c r="I98" s="297">
        <f>J98*'통장내역(환율표)'!$D$132</f>
        <v>1421.2547486512065</v>
      </c>
      <c r="J98" s="431">
        <v>195.30913646133075</v>
      </c>
      <c r="K98" s="299">
        <f t="shared" si="5"/>
        <v>312731.21525134955</v>
      </c>
      <c r="L98" s="299">
        <f t="shared" si="6"/>
        <v>42981.996459196023</v>
      </c>
      <c r="M98" s="502"/>
      <c r="N98" s="45">
        <f t="shared" si="7"/>
        <v>0</v>
      </c>
    </row>
    <row r="99" spans="1:14" s="5" customFormat="1" ht="13.5" customHeight="1">
      <c r="A99" s="496">
        <v>45255</v>
      </c>
      <c r="B99" s="497" t="s">
        <v>1037</v>
      </c>
      <c r="C99" s="498"/>
      <c r="D99" s="499">
        <v>52</v>
      </c>
      <c r="E99" s="295" t="s">
        <v>146</v>
      </c>
      <c r="F99" s="500" t="s">
        <v>147</v>
      </c>
      <c r="G99" s="501"/>
      <c r="H99" s="296"/>
      <c r="I99" s="297">
        <f>2246-I98</f>
        <v>824.74525134879354</v>
      </c>
      <c r="J99" s="354">
        <f>I99/'통장내역(환율표)'!$D$138</f>
        <v>113.35355600036223</v>
      </c>
      <c r="K99" s="299">
        <f t="shared" ref="K99:K119" si="8">K98+G99-I99</f>
        <v>311906.47000000079</v>
      </c>
      <c r="L99" s="299">
        <f t="shared" ref="L99:L119" si="9">L98+H99-J99</f>
        <v>42868.642903195658</v>
      </c>
      <c r="M99" s="502"/>
      <c r="N99" s="45">
        <f>42982-'내역_23.11'!J99</f>
        <v>42868.646443999634</v>
      </c>
    </row>
    <row r="100" spans="1:14" s="5" customFormat="1" ht="13.5" customHeight="1">
      <c r="A100" s="263">
        <v>45255</v>
      </c>
      <c r="B100" s="343" t="s">
        <v>1027</v>
      </c>
      <c r="C100" s="373"/>
      <c r="D100" s="492">
        <v>53</v>
      </c>
      <c r="E100" s="37" t="s">
        <v>146</v>
      </c>
      <c r="F100" s="355" t="s">
        <v>147</v>
      </c>
      <c r="G100" s="375"/>
      <c r="H100" s="33"/>
      <c r="I100" s="278">
        <v>3799.5</v>
      </c>
      <c r="J100" s="354">
        <f>I100/'통장내역(환율표)'!$D$138</f>
        <v>522.20589972361574</v>
      </c>
      <c r="K100" s="271">
        <f t="shared" si="8"/>
        <v>308106.97000000079</v>
      </c>
      <c r="L100" s="271">
        <f t="shared" si="9"/>
        <v>42346.437003472041</v>
      </c>
      <c r="M100" s="291"/>
      <c r="N100" s="45">
        <f>N99-J100+H100</f>
        <v>42346.440544276018</v>
      </c>
    </row>
    <row r="101" spans="1:14" s="5" customFormat="1" ht="13.5" customHeight="1">
      <c r="A101" s="263">
        <v>45255</v>
      </c>
      <c r="B101" s="321" t="s">
        <v>250</v>
      </c>
      <c r="C101" s="373"/>
      <c r="D101" s="492">
        <v>54</v>
      </c>
      <c r="E101" s="37" t="s">
        <v>62</v>
      </c>
      <c r="F101" s="355"/>
      <c r="G101" s="375"/>
      <c r="H101" s="33"/>
      <c r="I101" s="278">
        <v>3.6</v>
      </c>
      <c r="J101" s="354">
        <f>I101/'통장내역(환율표)'!$D$138</f>
        <v>0.49478648217002674</v>
      </c>
      <c r="K101" s="271">
        <f t="shared" si="8"/>
        <v>308103.37000000081</v>
      </c>
      <c r="L101" s="271">
        <f t="shared" si="9"/>
        <v>42345.942216989868</v>
      </c>
      <c r="M101" s="291"/>
      <c r="N101" s="45">
        <f t="shared" ref="N101:N119" si="10">N100-J101+H101</f>
        <v>42345.945757793845</v>
      </c>
    </row>
    <row r="102" spans="1:14" s="5" customFormat="1" ht="13.5" customHeight="1">
      <c r="A102" s="263">
        <v>45255</v>
      </c>
      <c r="B102" s="343" t="s">
        <v>1028</v>
      </c>
      <c r="C102" s="373"/>
      <c r="D102" s="492">
        <v>55</v>
      </c>
      <c r="E102" s="37" t="s">
        <v>146</v>
      </c>
      <c r="F102" s="355" t="s">
        <v>147</v>
      </c>
      <c r="G102" s="375"/>
      <c r="H102" s="33"/>
      <c r="I102" s="278">
        <v>1671.5</v>
      </c>
      <c r="J102" s="354">
        <f>I102/'통장내역(환율표)'!$D$138</f>
        <v>229.73211248533326</v>
      </c>
      <c r="K102" s="271">
        <f t="shared" si="8"/>
        <v>306431.87000000081</v>
      </c>
      <c r="L102" s="271">
        <f t="shared" si="9"/>
        <v>42116.210104504535</v>
      </c>
      <c r="M102" s="291"/>
      <c r="N102" s="45">
        <f t="shared" si="10"/>
        <v>42116.213645308511</v>
      </c>
    </row>
    <row r="103" spans="1:14" s="5" customFormat="1" ht="13.5" customHeight="1">
      <c r="A103" s="263">
        <v>45255</v>
      </c>
      <c r="B103" s="343" t="s">
        <v>1029</v>
      </c>
      <c r="C103" s="373"/>
      <c r="D103" s="492">
        <v>56</v>
      </c>
      <c r="E103" s="37" t="s">
        <v>146</v>
      </c>
      <c r="F103" s="355" t="s">
        <v>147</v>
      </c>
      <c r="G103" s="375"/>
      <c r="H103" s="33"/>
      <c r="I103" s="278">
        <v>1394.72</v>
      </c>
      <c r="J103" s="354">
        <f>I103/'통장내역(환율표)'!$D$138</f>
        <v>191.6912784478277</v>
      </c>
      <c r="K103" s="271">
        <f t="shared" si="8"/>
        <v>305037.15000000084</v>
      </c>
      <c r="L103" s="271">
        <f t="shared" si="9"/>
        <v>41924.518826056708</v>
      </c>
      <c r="M103" s="291"/>
      <c r="N103" s="45">
        <f t="shared" si="10"/>
        <v>41924.522366860685</v>
      </c>
    </row>
    <row r="104" spans="1:14" s="5" customFormat="1" ht="13.5" customHeight="1">
      <c r="A104" s="263">
        <v>45255</v>
      </c>
      <c r="B104" s="321" t="s">
        <v>250</v>
      </c>
      <c r="C104" s="373"/>
      <c r="D104" s="492">
        <v>57</v>
      </c>
      <c r="E104" s="37" t="s">
        <v>62</v>
      </c>
      <c r="F104" s="355"/>
      <c r="G104" s="375"/>
      <c r="H104" s="33"/>
      <c r="I104" s="278">
        <v>3.6</v>
      </c>
      <c r="J104" s="354">
        <f>I104/'통장내역(환율표)'!$D$138</f>
        <v>0.49478648217002674</v>
      </c>
      <c r="K104" s="271">
        <f t="shared" si="8"/>
        <v>305033.55000000086</v>
      </c>
      <c r="L104" s="271">
        <f t="shared" si="9"/>
        <v>41924.024039574535</v>
      </c>
      <c r="M104" s="291"/>
      <c r="N104" s="45">
        <f t="shared" si="10"/>
        <v>41924.027580378512</v>
      </c>
    </row>
    <row r="105" spans="1:14" s="5" customFormat="1" ht="13.5" customHeight="1">
      <c r="A105" s="263">
        <v>45255</v>
      </c>
      <c r="B105" s="321" t="s">
        <v>1030</v>
      </c>
      <c r="C105" s="373"/>
      <c r="D105" s="492">
        <v>58</v>
      </c>
      <c r="E105" s="37" t="s">
        <v>146</v>
      </c>
      <c r="F105" s="355" t="s">
        <v>147</v>
      </c>
      <c r="G105" s="375"/>
      <c r="H105" s="33"/>
      <c r="I105" s="278">
        <v>2510</v>
      </c>
      <c r="J105" s="354">
        <f>I105/'통장내역(환율표)'!$D$138</f>
        <v>344.97613062410198</v>
      </c>
      <c r="K105" s="271">
        <f t="shared" si="8"/>
        <v>302523.55000000086</v>
      </c>
      <c r="L105" s="271">
        <f t="shared" si="9"/>
        <v>41579.04790895043</v>
      </c>
      <c r="M105" s="291"/>
      <c r="N105" s="45">
        <f t="shared" si="10"/>
        <v>41579.051449754406</v>
      </c>
    </row>
    <row r="106" spans="1:14" s="5" customFormat="1" ht="13.5" customHeight="1">
      <c r="A106" s="263">
        <v>45255</v>
      </c>
      <c r="B106" s="321" t="s">
        <v>1031</v>
      </c>
      <c r="C106" s="373"/>
      <c r="D106" s="492">
        <v>59</v>
      </c>
      <c r="E106" s="37" t="s">
        <v>146</v>
      </c>
      <c r="F106" s="355" t="s">
        <v>147</v>
      </c>
      <c r="G106" s="375"/>
      <c r="H106" s="33"/>
      <c r="I106" s="278">
        <v>1865.6</v>
      </c>
      <c r="J106" s="354">
        <f>I106/'통장내역(환율표)'!$D$138</f>
        <v>256.40935031566715</v>
      </c>
      <c r="K106" s="271">
        <f t="shared" si="8"/>
        <v>300657.95000000088</v>
      </c>
      <c r="L106" s="271">
        <f t="shared" si="9"/>
        <v>41322.638558634761</v>
      </c>
      <c r="M106" s="291"/>
      <c r="N106" s="45">
        <f t="shared" si="10"/>
        <v>41322.642099438737</v>
      </c>
    </row>
    <row r="107" spans="1:14" s="5" customFormat="1" ht="13.5" customHeight="1">
      <c r="A107" s="263">
        <v>45255</v>
      </c>
      <c r="B107" s="321" t="s">
        <v>250</v>
      </c>
      <c r="C107" s="373"/>
      <c r="D107" s="492">
        <v>60</v>
      </c>
      <c r="E107" s="37" t="s">
        <v>62</v>
      </c>
      <c r="F107" s="355"/>
      <c r="G107" s="375"/>
      <c r="H107" s="33"/>
      <c r="I107" s="278">
        <v>3.6</v>
      </c>
      <c r="J107" s="354">
        <f>I107/'통장내역(환율표)'!$D$138</f>
        <v>0.49478648217002674</v>
      </c>
      <c r="K107" s="271">
        <f t="shared" si="8"/>
        <v>300654.35000000091</v>
      </c>
      <c r="L107" s="271">
        <f t="shared" si="9"/>
        <v>41322.143772152587</v>
      </c>
      <c r="M107" s="291"/>
      <c r="N107" s="45">
        <f t="shared" si="10"/>
        <v>41322.147312956564</v>
      </c>
    </row>
    <row r="108" spans="1:14" s="5" customFormat="1" ht="13.5" customHeight="1">
      <c r="A108" s="263">
        <v>45255</v>
      </c>
      <c r="B108" s="373" t="s">
        <v>844</v>
      </c>
      <c r="C108" s="373"/>
      <c r="D108" s="492">
        <v>61</v>
      </c>
      <c r="E108" s="37" t="s">
        <v>146</v>
      </c>
      <c r="F108" s="355" t="s">
        <v>147</v>
      </c>
      <c r="G108" s="375"/>
      <c r="H108" s="33"/>
      <c r="I108" s="278">
        <v>816.77</v>
      </c>
      <c r="J108" s="354">
        <f>I108/'통장내역(환율표)'!$D$138</f>
        <v>112.25743195611464</v>
      </c>
      <c r="K108" s="271">
        <f t="shared" si="8"/>
        <v>299837.58000000089</v>
      </c>
      <c r="L108" s="271">
        <f t="shared" si="9"/>
        <v>41209.88634019647</v>
      </c>
      <c r="M108" s="291"/>
      <c r="N108" s="45">
        <f t="shared" si="10"/>
        <v>41209.889881000447</v>
      </c>
    </row>
    <row r="109" spans="1:14" s="5" customFormat="1" ht="13.5" customHeight="1">
      <c r="A109" s="263">
        <v>45255</v>
      </c>
      <c r="B109" s="321" t="s">
        <v>250</v>
      </c>
      <c r="C109" s="373"/>
      <c r="D109" s="492">
        <v>62</v>
      </c>
      <c r="E109" s="37" t="s">
        <v>62</v>
      </c>
      <c r="F109" s="355"/>
      <c r="G109" s="375"/>
      <c r="H109" s="33"/>
      <c r="I109" s="278">
        <v>3.6</v>
      </c>
      <c r="J109" s="354">
        <f>I109/'통장내역(환율표)'!$D$138</f>
        <v>0.49478648217002674</v>
      </c>
      <c r="K109" s="271">
        <f t="shared" si="8"/>
        <v>299833.98000000091</v>
      </c>
      <c r="L109" s="271">
        <f t="shared" si="9"/>
        <v>41209.391553714297</v>
      </c>
      <c r="M109" s="291"/>
      <c r="N109" s="45">
        <f t="shared" si="10"/>
        <v>41209.395094518273</v>
      </c>
    </row>
    <row r="110" spans="1:14" s="5" customFormat="1" ht="13.5" customHeight="1">
      <c r="A110" s="263">
        <v>45255</v>
      </c>
      <c r="B110" s="373" t="s">
        <v>998</v>
      </c>
      <c r="C110" s="373"/>
      <c r="D110" s="492">
        <v>63</v>
      </c>
      <c r="E110" s="37" t="s">
        <v>125</v>
      </c>
      <c r="F110" s="355" t="s">
        <v>145</v>
      </c>
      <c r="G110" s="375"/>
      <c r="H110" s="33"/>
      <c r="I110" s="278">
        <v>14586.8</v>
      </c>
      <c r="J110" s="354">
        <f>I110/'통장내역(환율표)'!$D$138</f>
        <v>2004.8198494771516</v>
      </c>
      <c r="K110" s="271">
        <f t="shared" si="8"/>
        <v>285247.18000000092</v>
      </c>
      <c r="L110" s="271">
        <f t="shared" si="9"/>
        <v>39204.571704237147</v>
      </c>
      <c r="M110" s="291" t="s">
        <v>954</v>
      </c>
      <c r="N110" s="45">
        <f t="shared" si="10"/>
        <v>39204.575245041124</v>
      </c>
    </row>
    <row r="111" spans="1:14" s="5" customFormat="1" ht="13.5" customHeight="1">
      <c r="A111" s="263">
        <v>45255</v>
      </c>
      <c r="B111" s="321" t="s">
        <v>250</v>
      </c>
      <c r="C111" s="373"/>
      <c r="D111" s="492">
        <v>64</v>
      </c>
      <c r="E111" s="37" t="s">
        <v>62</v>
      </c>
      <c r="F111" s="355"/>
      <c r="G111" s="375"/>
      <c r="H111" s="33"/>
      <c r="I111" s="278">
        <v>7.2</v>
      </c>
      <c r="J111" s="354">
        <f>I111/'통장내역(환율표)'!$D$138</f>
        <v>0.98957296434005348</v>
      </c>
      <c r="K111" s="271">
        <f t="shared" si="8"/>
        <v>285239.98000000091</v>
      </c>
      <c r="L111" s="271">
        <f t="shared" si="9"/>
        <v>39203.582131272808</v>
      </c>
      <c r="M111" s="291"/>
      <c r="N111" s="45">
        <f t="shared" si="10"/>
        <v>39203.585672076784</v>
      </c>
    </row>
    <row r="112" spans="1:14" s="5" customFormat="1" ht="13.5" customHeight="1">
      <c r="A112" s="263">
        <v>45255</v>
      </c>
      <c r="B112" s="373" t="s">
        <v>999</v>
      </c>
      <c r="C112" s="373"/>
      <c r="D112" s="492">
        <v>65</v>
      </c>
      <c r="E112" s="37" t="s">
        <v>116</v>
      </c>
      <c r="F112" s="355" t="s">
        <v>140</v>
      </c>
      <c r="G112" s="375"/>
      <c r="H112" s="33"/>
      <c r="I112" s="278">
        <v>397.01</v>
      </c>
      <c r="J112" s="354">
        <f>I112/'통장내역(환율표)'!$D$138</f>
        <v>54.56532813508953</v>
      </c>
      <c r="K112" s="271">
        <f t="shared" si="8"/>
        <v>284842.9700000009</v>
      </c>
      <c r="L112" s="271">
        <f t="shared" si="9"/>
        <v>39149.016803137718</v>
      </c>
      <c r="M112" s="291" t="s">
        <v>955</v>
      </c>
      <c r="N112" s="45">
        <f t="shared" si="10"/>
        <v>39149.020343941695</v>
      </c>
    </row>
    <row r="113" spans="1:15" s="5" customFormat="1" ht="13.5" customHeight="1">
      <c r="A113" s="263">
        <v>45255</v>
      </c>
      <c r="B113" s="321" t="s">
        <v>250</v>
      </c>
      <c r="C113" s="373"/>
      <c r="D113" s="492">
        <v>66</v>
      </c>
      <c r="E113" s="37" t="s">
        <v>62</v>
      </c>
      <c r="F113" s="355"/>
      <c r="G113" s="375"/>
      <c r="H113" s="33"/>
      <c r="I113" s="278">
        <v>3.6</v>
      </c>
      <c r="J113" s="354">
        <f>I113/'통장내역(환율표)'!$D$138</f>
        <v>0.49478648217002674</v>
      </c>
      <c r="K113" s="271">
        <f t="shared" si="8"/>
        <v>284839.37000000093</v>
      </c>
      <c r="L113" s="271">
        <f t="shared" si="9"/>
        <v>39148.522016655545</v>
      </c>
      <c r="M113" s="291"/>
      <c r="N113" s="45">
        <f t="shared" si="10"/>
        <v>39148.525557459521</v>
      </c>
    </row>
    <row r="114" spans="1:15" s="5" customFormat="1" ht="13.5" customHeight="1">
      <c r="A114" s="263">
        <v>45255</v>
      </c>
      <c r="B114" s="373" t="s">
        <v>1000</v>
      </c>
      <c r="C114" s="373"/>
      <c r="D114" s="492">
        <v>67</v>
      </c>
      <c r="E114" s="37" t="s">
        <v>62</v>
      </c>
      <c r="F114" s="355"/>
      <c r="G114" s="375"/>
      <c r="H114" s="33"/>
      <c r="I114" s="278">
        <v>1544.46</v>
      </c>
      <c r="J114" s="354">
        <f>I114/'통장내역(환율표)'!$D$138</f>
        <v>212.27164729231097</v>
      </c>
      <c r="K114" s="271">
        <f t="shared" si="8"/>
        <v>283294.91000000091</v>
      </c>
      <c r="L114" s="271">
        <f t="shared" si="9"/>
        <v>38936.250369363232</v>
      </c>
      <c r="M114" s="291" t="s">
        <v>955</v>
      </c>
      <c r="N114" s="45">
        <f t="shared" si="10"/>
        <v>38936.253910167208</v>
      </c>
    </row>
    <row r="115" spans="1:15" s="5" customFormat="1" ht="13.5" customHeight="1">
      <c r="A115" s="263">
        <v>45255</v>
      </c>
      <c r="B115" s="321" t="s">
        <v>250</v>
      </c>
      <c r="C115" s="373"/>
      <c r="D115" s="492">
        <v>68</v>
      </c>
      <c r="E115" s="37" t="s">
        <v>62</v>
      </c>
      <c r="F115" s="355"/>
      <c r="G115" s="375"/>
      <c r="H115" s="33"/>
      <c r="I115" s="278">
        <v>3.6</v>
      </c>
      <c r="J115" s="354">
        <f>I115/'통장내역(환율표)'!$D$138</f>
        <v>0.49478648217002674</v>
      </c>
      <c r="K115" s="271">
        <f t="shared" si="8"/>
        <v>283291.31000000093</v>
      </c>
      <c r="L115" s="271">
        <f t="shared" si="9"/>
        <v>38935.755582881058</v>
      </c>
      <c r="M115" s="291"/>
      <c r="N115" s="45">
        <f t="shared" si="10"/>
        <v>38935.759123685035</v>
      </c>
    </row>
    <row r="116" spans="1:15" s="5" customFormat="1" ht="13.5" customHeight="1">
      <c r="A116" s="263">
        <v>45255</v>
      </c>
      <c r="B116" s="321" t="s">
        <v>1035</v>
      </c>
      <c r="C116" s="373"/>
      <c r="D116" s="492" t="s">
        <v>1036</v>
      </c>
      <c r="E116" s="37" t="s">
        <v>125</v>
      </c>
      <c r="F116" s="355" t="s">
        <v>145</v>
      </c>
      <c r="G116" s="375"/>
      <c r="H116" s="33"/>
      <c r="I116" s="278">
        <v>201.6</v>
      </c>
      <c r="J116" s="354">
        <v>27.71</v>
      </c>
      <c r="K116" s="271">
        <f t="shared" si="8"/>
        <v>283089.71000000095</v>
      </c>
      <c r="L116" s="271">
        <f t="shared" si="9"/>
        <v>38908.045582881059</v>
      </c>
      <c r="M116" s="291"/>
      <c r="N116" s="45">
        <f t="shared" si="10"/>
        <v>38908.049123685036</v>
      </c>
    </row>
    <row r="117" spans="1:15" s="5" customFormat="1" ht="13.5" customHeight="1">
      <c r="A117" s="263">
        <v>45255</v>
      </c>
      <c r="B117" s="321" t="s">
        <v>250</v>
      </c>
      <c r="C117" s="373"/>
      <c r="D117" s="492">
        <v>69</v>
      </c>
      <c r="E117" s="37" t="s">
        <v>62</v>
      </c>
      <c r="F117" s="355"/>
      <c r="G117" s="375"/>
      <c r="H117" s="33"/>
      <c r="I117" s="278">
        <v>3.6</v>
      </c>
      <c r="J117" s="354">
        <f>I117/'통장내역(환율표)'!$D$138</f>
        <v>0.49478648217002674</v>
      </c>
      <c r="K117" s="271">
        <f t="shared" si="8"/>
        <v>283086.11000000098</v>
      </c>
      <c r="L117" s="271">
        <f t="shared" si="9"/>
        <v>38907.550796398886</v>
      </c>
      <c r="M117" s="291"/>
      <c r="N117" s="45">
        <f t="shared" si="10"/>
        <v>38907.554337202862</v>
      </c>
    </row>
    <row r="118" spans="1:15" s="5" customFormat="1" ht="13.5" customHeight="1">
      <c r="A118" s="263">
        <v>45255</v>
      </c>
      <c r="B118" s="373" t="s">
        <v>1001</v>
      </c>
      <c r="C118" s="373"/>
      <c r="D118" s="492" t="s">
        <v>1036</v>
      </c>
      <c r="E118" s="355" t="s">
        <v>146</v>
      </c>
      <c r="F118" s="355" t="s">
        <v>147</v>
      </c>
      <c r="G118" s="375">
        <v>21.39</v>
      </c>
      <c r="H118" s="278">
        <v>2.94</v>
      </c>
      <c r="I118" s="278"/>
      <c r="J118" s="354">
        <f>I118/'통장내역(환율표)'!$D$138</f>
        <v>0</v>
      </c>
      <c r="K118" s="271">
        <f t="shared" si="8"/>
        <v>283107.50000000099</v>
      </c>
      <c r="L118" s="271">
        <f t="shared" si="9"/>
        <v>38910.490796398888</v>
      </c>
      <c r="M118" s="291"/>
      <c r="N118" s="45">
        <f t="shared" si="10"/>
        <v>38910.494337202865</v>
      </c>
    </row>
    <row r="119" spans="1:15" s="5" customFormat="1" ht="13.5" customHeight="1">
      <c r="A119" s="263">
        <v>45256</v>
      </c>
      <c r="B119" s="373" t="s">
        <v>1002</v>
      </c>
      <c r="C119" s="373"/>
      <c r="D119" s="492" t="s">
        <v>1036</v>
      </c>
      <c r="E119" s="355" t="s">
        <v>105</v>
      </c>
      <c r="F119" s="355" t="s">
        <v>227</v>
      </c>
      <c r="G119" s="375">
        <v>469</v>
      </c>
      <c r="H119" s="278">
        <v>64.459999999999994</v>
      </c>
      <c r="I119" s="278"/>
      <c r="J119" s="354">
        <f>I119/'통장내역(환율표)'!$D$138</f>
        <v>0</v>
      </c>
      <c r="K119" s="271">
        <f t="shared" si="8"/>
        <v>283576.50000000099</v>
      </c>
      <c r="L119" s="271">
        <f t="shared" si="9"/>
        <v>38974.950796398887</v>
      </c>
      <c r="M119" s="291"/>
      <c r="N119" s="45">
        <f t="shared" si="10"/>
        <v>38974.954337202864</v>
      </c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2.7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9" spans="1:15">
      <c r="B159" s="322"/>
      <c r="C159" s="322"/>
      <c r="D159" s="322"/>
      <c r="E159" s="322"/>
    </row>
    <row r="160" spans="1:15">
      <c r="B160" s="322"/>
    </row>
  </sheetData>
  <autoFilter ref="A18:N15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829-CAA7-4CAB-A75E-B835CC105011}">
  <sheetPr>
    <tabColor rgb="FFF8DA90"/>
    <pageSetUpPr fitToPage="1"/>
  </sheetPr>
  <dimension ref="A1:T137"/>
  <sheetViews>
    <sheetView showGridLines="0" zoomScale="85" zoomScaleNormal="85" workbookViewId="0">
      <pane ySplit="18" topLeftCell="A19" activePane="bottomLeft" state="frozen"/>
      <selection activeCell="H1" sqref="H1:H1048576"/>
      <selection pane="bottomLeft" activeCell="J34" sqref="J34"/>
    </sheetView>
  </sheetViews>
  <sheetFormatPr defaultRowHeight="16.5"/>
  <cols>
    <col min="1" max="1" width="11.875" customWidth="1"/>
    <col min="2" max="2" width="22.75" customWidth="1"/>
    <col min="3" max="3" width="17.375" customWidth="1"/>
    <col min="4" max="4" width="11.875" customWidth="1"/>
    <col min="5" max="5" width="13.5" bestFit="1" customWidth="1"/>
    <col min="6" max="6" width="9.625" bestFit="1" customWidth="1"/>
    <col min="7" max="7" width="10.875" bestFit="1" customWidth="1"/>
    <col min="8" max="8" width="10" bestFit="1" customWidth="1"/>
    <col min="9" max="9" width="11.875" bestFit="1" customWidth="1"/>
    <col min="10" max="11" width="13.5" bestFit="1" customWidth="1"/>
    <col min="12" max="12" width="11.625" bestFit="1" customWidth="1"/>
    <col min="13" max="13" width="27.25" customWidth="1"/>
    <col min="14" max="14" width="15.125" customWidth="1"/>
    <col min="15" max="15" width="11.625" bestFit="1" customWidth="1"/>
    <col min="16" max="16" width="9.625" bestFit="1" customWidth="1"/>
    <col min="17" max="17" width="13.375" bestFit="1" customWidth="1"/>
    <col min="18" max="20" width="10" bestFit="1" customWidth="1"/>
    <col min="21" max="21" width="9.125" bestFit="1" customWidth="1"/>
  </cols>
  <sheetData>
    <row r="1" spans="1:18" ht="23.25" customHeight="1">
      <c r="A1" s="1" t="s">
        <v>449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25">
      <c r="A2" s="130" t="s">
        <v>1093</v>
      </c>
      <c r="B2" s="2"/>
      <c r="C2" s="2"/>
      <c r="E2" s="4">
        <v>100000210</v>
      </c>
      <c r="F2" s="119"/>
      <c r="G2" s="130" t="s">
        <v>1094</v>
      </c>
      <c r="H2" s="2"/>
      <c r="I2" s="2"/>
      <c r="K2" s="4">
        <v>100000210</v>
      </c>
      <c r="L2" s="372"/>
    </row>
    <row r="3" spans="1:18" s="5" customFormat="1" ht="27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.5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.5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5302.4</v>
      </c>
      <c r="J5" s="116">
        <v>740.42</v>
      </c>
      <c r="K5" s="117">
        <v>968395</v>
      </c>
      <c r="L5" s="248">
        <f t="shared" ref="L5:L12" si="0">E5+K5</f>
        <v>968395</v>
      </c>
      <c r="M5" s="130"/>
      <c r="N5" s="130"/>
      <c r="O5" s="130"/>
      <c r="R5" s="425"/>
    </row>
    <row r="6" spans="1:18" s="5" customFormat="1" ht="13.5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56784.75</v>
      </c>
      <c r="J6" s="116">
        <v>7929.3219850053802</v>
      </c>
      <c r="K6" s="117">
        <v>10370758</v>
      </c>
      <c r="L6" s="248">
        <f t="shared" si="0"/>
        <v>10370758</v>
      </c>
      <c r="M6" s="130"/>
      <c r="N6" s="130"/>
      <c r="O6" s="130"/>
      <c r="R6" s="425"/>
    </row>
    <row r="7" spans="1:18" s="5" customFormat="1" ht="13.5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2795.9762807049906</v>
      </c>
      <c r="K7" s="117">
        <v>3656862</v>
      </c>
      <c r="L7" s="248">
        <f t="shared" si="0"/>
        <v>3656862</v>
      </c>
      <c r="M7" s="130"/>
      <c r="N7" s="130"/>
      <c r="O7" s="130"/>
      <c r="R7" s="425"/>
    </row>
    <row r="8" spans="1:18" s="5" customFormat="1" ht="13.5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17500</v>
      </c>
      <c r="J8" s="116">
        <v>2443.6690262366947</v>
      </c>
      <c r="K8" s="117">
        <v>3196076</v>
      </c>
      <c r="L8" s="248">
        <f t="shared" si="0"/>
        <v>3196076</v>
      </c>
      <c r="M8" s="130"/>
      <c r="N8" s="130"/>
      <c r="O8" s="130"/>
      <c r="R8" s="425"/>
    </row>
    <row r="9" spans="1:18" s="5" customFormat="1" ht="13.5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2356.4</v>
      </c>
      <c r="J9" s="116">
        <v>329.04352533852267</v>
      </c>
      <c r="K9" s="117">
        <v>430351</v>
      </c>
      <c r="L9" s="248">
        <f t="shared" si="0"/>
        <v>430351</v>
      </c>
      <c r="M9" s="130"/>
      <c r="N9" s="130"/>
      <c r="O9" s="130"/>
      <c r="R9" s="425"/>
    </row>
    <row r="10" spans="1:18" s="5" customFormat="1" ht="13.5">
      <c r="A10" s="114" t="s">
        <v>62</v>
      </c>
      <c r="B10" s="115"/>
      <c r="C10" s="116">
        <v>283934.28000000003</v>
      </c>
      <c r="D10" s="116">
        <v>39021.54</v>
      </c>
      <c r="E10" s="117">
        <v>51079196</v>
      </c>
      <c r="F10" s="121">
        <v>51321010</v>
      </c>
      <c r="G10" s="114" t="s">
        <v>62</v>
      </c>
      <c r="H10" s="115"/>
      <c r="I10" s="116">
        <v>110814.51</v>
      </c>
      <c r="J10" s="116">
        <v>15499.94</v>
      </c>
      <c r="K10" s="117">
        <v>20272372</v>
      </c>
      <c r="L10" s="248">
        <f t="shared" si="0"/>
        <v>71351568</v>
      </c>
      <c r="M10" s="130"/>
      <c r="N10" s="130"/>
      <c r="O10" s="130"/>
      <c r="R10" s="425"/>
    </row>
    <row r="11" spans="1:18" s="5" customFormat="1" ht="13.5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.5">
      <c r="A12" s="1516" t="s">
        <v>299</v>
      </c>
      <c r="B12" s="1517"/>
      <c r="C12" s="467">
        <f>SUM(C4:C10)</f>
        <v>283934.28000000003</v>
      </c>
      <c r="D12" s="467">
        <f>SUM(D4:D10)</f>
        <v>39021.54</v>
      </c>
      <c r="E12" s="468">
        <f>SUM(E4:E10)</f>
        <v>51079196</v>
      </c>
      <c r="F12" s="119"/>
      <c r="G12" s="1516" t="s">
        <v>299</v>
      </c>
      <c r="H12" s="1517"/>
      <c r="I12" s="467">
        <f>SUM(I4:I11)</f>
        <v>212781.06</v>
      </c>
      <c r="J12" s="467">
        <f>SUM(J4:J11)</f>
        <v>29738.370817285584</v>
      </c>
      <c r="K12" s="125">
        <f>SUM(K4:K11)</f>
        <v>38894814</v>
      </c>
      <c r="L12" s="248">
        <f t="shared" si="0"/>
        <v>89974010</v>
      </c>
      <c r="M12" s="130"/>
      <c r="N12" s="130"/>
      <c r="O12" s="130"/>
    </row>
    <row r="13" spans="1:18" s="5" customFormat="1" ht="14.25" customHeight="1">
      <c r="A13" s="2" t="s">
        <v>1095</v>
      </c>
      <c r="B13" s="315"/>
      <c r="C13" s="469">
        <f>C12+I12</f>
        <v>496715.34</v>
      </c>
      <c r="D13" s="469">
        <f>D12+J12</f>
        <v>68759.910817285592</v>
      </c>
      <c r="E13" s="470">
        <f>E12+K12</f>
        <v>89974010</v>
      </c>
      <c r="F13" s="617"/>
      <c r="G13" s="126"/>
      <c r="H13" s="126"/>
      <c r="I13" s="503"/>
      <c r="J13" s="503"/>
      <c r="K13" s="505"/>
      <c r="L13" s="253">
        <v>2425.7418328151257</v>
      </c>
      <c r="M13" s="130"/>
      <c r="N13" s="493"/>
      <c r="O13" s="130"/>
    </row>
    <row r="14" spans="1:18" s="5" customFormat="1" ht="13.5">
      <c r="A14" s="2"/>
      <c r="B14" s="5" t="s">
        <v>60</v>
      </c>
      <c r="C14" s="469">
        <v>338.95</v>
      </c>
      <c r="D14" s="469">
        <v>46.59</v>
      </c>
      <c r="E14" s="470">
        <v>60986</v>
      </c>
      <c r="F14" s="504"/>
      <c r="G14" s="318"/>
      <c r="H14" s="126"/>
      <c r="I14" s="316"/>
      <c r="J14" s="316"/>
      <c r="K14" s="317"/>
      <c r="L14" s="253"/>
      <c r="M14" s="253" t="e">
        <f>#REF!</f>
        <v>#REF!</v>
      </c>
      <c r="N14" s="253"/>
      <c r="O14" s="119"/>
    </row>
    <row r="15" spans="1:18" s="5" customFormat="1" ht="13.5">
      <c r="A15" s="126"/>
      <c r="B15" s="315"/>
      <c r="C15" s="469">
        <f>SUM(C13:C14)</f>
        <v>497054.29000000004</v>
      </c>
      <c r="D15" s="469">
        <f>SUM(D13:D14)</f>
        <v>68806.500817285589</v>
      </c>
      <c r="E15" s="470">
        <f>SUM(E13:E14)</f>
        <v>90034996</v>
      </c>
      <c r="F15" s="385"/>
      <c r="G15" s="130"/>
      <c r="H15" s="130"/>
      <c r="I15" s="131">
        <f>I16-G94</f>
        <v>496715.33999999997</v>
      </c>
      <c r="J15" s="131">
        <f>J16-H94</f>
        <v>68759.905681778968</v>
      </c>
      <c r="K15" s="288"/>
      <c r="L15" s="253"/>
      <c r="N15" s="45"/>
    </row>
    <row r="16" spans="1:18" s="5" customFormat="1" ht="13.5">
      <c r="B16" s="134">
        <v>13081010</v>
      </c>
      <c r="C16" s="135"/>
      <c r="D16" s="135"/>
      <c r="G16" s="6"/>
      <c r="H16" s="137"/>
      <c r="I16" s="131">
        <f>SUBTOTAL(9,I19:I126)</f>
        <v>546715.34</v>
      </c>
      <c r="J16" s="137">
        <f>SUBTOTAL(9,J19:J124)</f>
        <v>75741.817185312379</v>
      </c>
      <c r="K16" s="132"/>
      <c r="L16" s="45"/>
    </row>
    <row r="17" spans="1:14" s="5" customFormat="1" ht="13.5">
      <c r="A17" s="1511" t="s">
        <v>300</v>
      </c>
      <c r="B17" s="1511" t="s">
        <v>25</v>
      </c>
      <c r="C17" s="1511"/>
      <c r="D17" s="1518" t="s">
        <v>26</v>
      </c>
      <c r="E17" s="1518" t="s">
        <v>1</v>
      </c>
      <c r="F17" s="1511" t="s">
        <v>2</v>
      </c>
      <c r="G17" s="1509" t="s">
        <v>232</v>
      </c>
      <c r="H17" s="1509"/>
      <c r="I17" s="1509" t="s">
        <v>30</v>
      </c>
      <c r="J17" s="1509"/>
      <c r="K17" s="1510" t="s">
        <v>31</v>
      </c>
      <c r="L17" s="1510"/>
      <c r="M17" s="1511" t="s">
        <v>32</v>
      </c>
    </row>
    <row r="18" spans="1:14" s="5" customFormat="1" ht="14.25" customHeight="1">
      <c r="A18" s="1511"/>
      <c r="B18" s="1511"/>
      <c r="C18" s="1511"/>
      <c r="D18" s="1519"/>
      <c r="E18" s="1519"/>
      <c r="F18" s="1511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1"/>
    </row>
    <row r="19" spans="1:14" s="5" customFormat="1" ht="13.5" customHeight="1">
      <c r="A19" s="237">
        <v>45260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283576.50000000099</v>
      </c>
      <c r="L19" s="241">
        <v>38974.950796398887</v>
      </c>
      <c r="M19" s="240"/>
      <c r="N19" s="45">
        <v>38974.949999999997</v>
      </c>
    </row>
    <row r="20" spans="1:14" s="5" customFormat="1" ht="13.5" customHeight="1">
      <c r="A20" s="263">
        <v>45268</v>
      </c>
      <c r="B20" s="373" t="s">
        <v>1096</v>
      </c>
      <c r="C20" s="373"/>
      <c r="D20" s="37"/>
      <c r="E20" s="37" t="s">
        <v>107</v>
      </c>
      <c r="F20" s="355"/>
      <c r="G20" s="375"/>
      <c r="H20" s="384"/>
      <c r="I20" s="278">
        <v>157500</v>
      </c>
      <c r="J20" s="354">
        <f>I20/'[3]통장내역(환율표)'!$D$138</f>
        <v>21646.908594938668</v>
      </c>
      <c r="K20" s="271">
        <f t="shared" ref="K20:L35" si="1">K19+G20-I20</f>
        <v>126076.50000000099</v>
      </c>
      <c r="L20" s="271">
        <f t="shared" si="1"/>
        <v>17328.042201460219</v>
      </c>
      <c r="M20" s="33"/>
      <c r="N20" s="45">
        <f>N19-J20+H20</f>
        <v>17328.041405061329</v>
      </c>
    </row>
    <row r="21" spans="1:14" s="5" customFormat="1" ht="13.5" customHeight="1">
      <c r="A21" s="263">
        <v>45268</v>
      </c>
      <c r="B21" s="433" t="s">
        <v>250</v>
      </c>
      <c r="C21" s="373"/>
      <c r="D21" s="37"/>
      <c r="E21" s="37" t="s">
        <v>107</v>
      </c>
      <c r="F21" s="355"/>
      <c r="G21" s="375"/>
      <c r="H21" s="384"/>
      <c r="I21" s="278">
        <v>12</v>
      </c>
      <c r="J21" s="354">
        <f>I21/'[3]통장내역(환율표)'!$D$138</f>
        <v>1.6492882739000891</v>
      </c>
      <c r="K21" s="271">
        <f t="shared" si="1"/>
        <v>126064.50000000099</v>
      </c>
      <c r="L21" s="271">
        <f t="shared" si="1"/>
        <v>17326.392913186319</v>
      </c>
      <c r="M21" s="33"/>
      <c r="N21" s="45">
        <f>N20-J21+H21</f>
        <v>17326.392116787429</v>
      </c>
    </row>
    <row r="22" spans="1:14" s="5" customFormat="1" ht="13.5" customHeight="1">
      <c r="A22" s="279">
        <v>45272</v>
      </c>
      <c r="B22" s="618" t="s">
        <v>1097</v>
      </c>
      <c r="C22" s="618"/>
      <c r="D22" s="150">
        <v>3</v>
      </c>
      <c r="E22" s="150"/>
      <c r="F22" s="619"/>
      <c r="G22" s="620">
        <v>282752.08</v>
      </c>
      <c r="H22" s="621">
        <v>39509</v>
      </c>
      <c r="I22" s="153"/>
      <c r="J22" s="622">
        <f>I22/'[3]통장내역(환율표)'!$D$138</f>
        <v>0</v>
      </c>
      <c r="K22" s="283">
        <f t="shared" si="1"/>
        <v>408816.58000000101</v>
      </c>
      <c r="L22" s="283">
        <f t="shared" si="1"/>
        <v>56835.392913186319</v>
      </c>
      <c r="M22" s="151"/>
      <c r="N22" s="45"/>
    </row>
    <row r="23" spans="1:14" s="5" customFormat="1" ht="13.5" customHeight="1">
      <c r="A23" s="279">
        <v>45272</v>
      </c>
      <c r="B23" s="618" t="s">
        <v>445</v>
      </c>
      <c r="C23" s="618"/>
      <c r="D23" s="150">
        <v>3</v>
      </c>
      <c r="E23" s="150" t="s">
        <v>107</v>
      </c>
      <c r="F23" s="619"/>
      <c r="G23" s="620"/>
      <c r="H23" s="621"/>
      <c r="I23" s="153"/>
      <c r="J23" s="382">
        <v>26</v>
      </c>
      <c r="K23" s="283">
        <f t="shared" si="1"/>
        <v>408816.58000000101</v>
      </c>
      <c r="L23" s="283">
        <f t="shared" si="1"/>
        <v>56809.392913186319</v>
      </c>
      <c r="M23" s="151"/>
      <c r="N23" s="45"/>
    </row>
    <row r="24" spans="1:14" s="5" customFormat="1" ht="13.5" customHeight="1">
      <c r="A24" s="263">
        <v>45281</v>
      </c>
      <c r="B24" s="373" t="s">
        <v>731</v>
      </c>
      <c r="C24" s="373"/>
      <c r="D24" s="37">
        <v>4</v>
      </c>
      <c r="E24" s="37" t="s">
        <v>60</v>
      </c>
      <c r="F24" s="355"/>
      <c r="G24" s="375">
        <v>338.95</v>
      </c>
      <c r="H24" s="375">
        <f>G24/'[3]통장내역(환율표)'!$D$138</f>
        <v>46.585521703202936</v>
      </c>
      <c r="I24" s="278"/>
      <c r="J24" s="354">
        <f>I24/'[3]통장내역(환율표)'!$D$138</f>
        <v>0</v>
      </c>
      <c r="K24" s="271">
        <f t="shared" si="1"/>
        <v>409155.53000000102</v>
      </c>
      <c r="L24" s="271">
        <f t="shared" si="1"/>
        <v>56855.978434889519</v>
      </c>
      <c r="M24" s="33"/>
      <c r="N24" s="45">
        <f>N21-J24+H24</f>
        <v>17372.977638490633</v>
      </c>
    </row>
    <row r="25" spans="1:14" s="5" customFormat="1" ht="13.5" customHeight="1">
      <c r="A25" s="263">
        <v>45283</v>
      </c>
      <c r="B25" s="373" t="s">
        <v>892</v>
      </c>
      <c r="C25" s="373"/>
      <c r="D25" s="37">
        <v>5</v>
      </c>
      <c r="E25" s="37" t="s">
        <v>62</v>
      </c>
      <c r="F25" s="355"/>
      <c r="G25" s="375"/>
      <c r="H25" s="384"/>
      <c r="I25" s="278">
        <v>15000</v>
      </c>
      <c r="J25" s="354">
        <f>I25/'[3]통장내역(환율표)'!$D$132</f>
        <v>2061.3032601651698</v>
      </c>
      <c r="K25" s="271">
        <f t="shared" si="1"/>
        <v>394155.53000000102</v>
      </c>
      <c r="L25" s="271">
        <f t="shared" si="1"/>
        <v>54794.675174724347</v>
      </c>
      <c r="M25" s="33" t="s">
        <v>993</v>
      </c>
      <c r="N25" s="45">
        <f t="shared" ref="N25:N35" si="2">N24-J25+H25</f>
        <v>15311.674378325462</v>
      </c>
    </row>
    <row r="26" spans="1:14" s="5" customFormat="1" ht="13.5" customHeight="1">
      <c r="A26" s="263">
        <v>45283</v>
      </c>
      <c r="B26" s="373" t="s">
        <v>947</v>
      </c>
      <c r="C26" s="373"/>
      <c r="D26" s="37">
        <v>5</v>
      </c>
      <c r="E26" s="37" t="s">
        <v>62</v>
      </c>
      <c r="F26" s="355"/>
      <c r="G26" s="375"/>
      <c r="H26" s="33"/>
      <c r="I26" s="278">
        <v>22000</v>
      </c>
      <c r="J26" s="354">
        <f>I26/'[3]통장내역(환율표)'!$D$132</f>
        <v>3023.2447815755827</v>
      </c>
      <c r="K26" s="271">
        <f t="shared" si="1"/>
        <v>372155.53000000102</v>
      </c>
      <c r="L26" s="271">
        <f t="shared" si="1"/>
        <v>51771.430393148767</v>
      </c>
      <c r="M26" s="33" t="s">
        <v>993</v>
      </c>
      <c r="N26" s="45">
        <f t="shared" si="2"/>
        <v>12288.42959674988</v>
      </c>
    </row>
    <row r="27" spans="1:14" s="5" customFormat="1" ht="13.5" customHeight="1">
      <c r="A27" s="263">
        <v>45283</v>
      </c>
      <c r="B27" s="373" t="s">
        <v>894</v>
      </c>
      <c r="C27" s="373"/>
      <c r="D27" s="37">
        <v>5</v>
      </c>
      <c r="E27" s="37" t="s">
        <v>62</v>
      </c>
      <c r="F27" s="355"/>
      <c r="G27" s="375"/>
      <c r="H27" s="33"/>
      <c r="I27" s="278">
        <v>4673.3899999999994</v>
      </c>
      <c r="J27" s="354">
        <f>I27/'[3]통장내역(환율표)'!$D$132</f>
        <v>642.21826953488687</v>
      </c>
      <c r="K27" s="271">
        <f t="shared" si="1"/>
        <v>367482.140000001</v>
      </c>
      <c r="L27" s="271">
        <f t="shared" si="1"/>
        <v>51129.212123613877</v>
      </c>
      <c r="M27" s="33" t="s">
        <v>993</v>
      </c>
      <c r="N27" s="45">
        <f t="shared" si="2"/>
        <v>11646.211327214993</v>
      </c>
    </row>
    <row r="28" spans="1:14" s="5" customFormat="1" ht="13.5" customHeight="1">
      <c r="A28" s="263">
        <v>45283</v>
      </c>
      <c r="B28" s="373" t="s">
        <v>895</v>
      </c>
      <c r="C28" s="373"/>
      <c r="D28" s="37">
        <v>5</v>
      </c>
      <c r="E28" s="37" t="s">
        <v>62</v>
      </c>
      <c r="F28" s="355"/>
      <c r="G28" s="375"/>
      <c r="H28" s="33"/>
      <c r="I28" s="278">
        <v>7623.2300000000032</v>
      </c>
      <c r="J28" s="354">
        <f>I28/'[3]통장내역(환율표)'!$D$132</f>
        <v>1047.585923465929</v>
      </c>
      <c r="K28" s="271">
        <f t="shared" si="1"/>
        <v>359858.91000000102</v>
      </c>
      <c r="L28" s="271">
        <f t="shared" si="1"/>
        <v>50081.626200147948</v>
      </c>
      <c r="M28" s="33" t="s">
        <v>993</v>
      </c>
      <c r="N28" s="45">
        <f t="shared" si="2"/>
        <v>10598.625403749063</v>
      </c>
    </row>
    <row r="29" spans="1:14" s="5" customFormat="1" ht="13.5" customHeight="1">
      <c r="A29" s="263">
        <v>45283</v>
      </c>
      <c r="B29" s="373" t="s">
        <v>899</v>
      </c>
      <c r="C29" s="373"/>
      <c r="D29" s="37">
        <v>5</v>
      </c>
      <c r="E29" s="37" t="s">
        <v>62</v>
      </c>
      <c r="F29" s="355"/>
      <c r="G29" s="375"/>
      <c r="H29" s="33"/>
      <c r="I29" s="278">
        <v>300</v>
      </c>
      <c r="J29" s="354">
        <f>I29/'[3]통장내역(환율표)'!$D$132</f>
        <v>41.226065203303399</v>
      </c>
      <c r="K29" s="271">
        <f t="shared" si="1"/>
        <v>359558.91000000102</v>
      </c>
      <c r="L29" s="271">
        <f t="shared" si="1"/>
        <v>50040.400134944648</v>
      </c>
      <c r="M29" s="33" t="s">
        <v>993</v>
      </c>
      <c r="N29" s="45">
        <f t="shared" si="2"/>
        <v>10557.39933854576</v>
      </c>
    </row>
    <row r="30" spans="1:14" s="5" customFormat="1" ht="13.5" customHeight="1">
      <c r="A30" s="263">
        <v>45283</v>
      </c>
      <c r="B30" s="373" t="s">
        <v>892</v>
      </c>
      <c r="C30" s="373"/>
      <c r="D30" s="37">
        <v>5</v>
      </c>
      <c r="E30" s="37" t="s">
        <v>62</v>
      </c>
      <c r="F30" s="355"/>
      <c r="G30" s="375"/>
      <c r="H30" s="33"/>
      <c r="I30" s="278">
        <v>15000</v>
      </c>
      <c r="J30" s="354">
        <f>I30/'[3]통장내역(환율표)'!$D$132</f>
        <v>2061.3032601651698</v>
      </c>
      <c r="K30" s="271">
        <f t="shared" si="1"/>
        <v>344558.91000000102</v>
      </c>
      <c r="L30" s="271">
        <f t="shared" si="1"/>
        <v>47979.096874779476</v>
      </c>
      <c r="M30" s="33" t="s">
        <v>994</v>
      </c>
      <c r="N30" s="45">
        <f t="shared" si="2"/>
        <v>8496.0960783805895</v>
      </c>
    </row>
    <row r="31" spans="1:14" s="5" customFormat="1" ht="13.5" customHeight="1">
      <c r="A31" s="263">
        <v>45283</v>
      </c>
      <c r="B31" s="373" t="s">
        <v>947</v>
      </c>
      <c r="C31" s="373"/>
      <c r="D31" s="37">
        <v>5</v>
      </c>
      <c r="E31" s="37" t="s">
        <v>62</v>
      </c>
      <c r="F31" s="355"/>
      <c r="G31" s="375"/>
      <c r="H31" s="33"/>
      <c r="I31" s="278">
        <v>22000</v>
      </c>
      <c r="J31" s="354">
        <f>I31/'[3]통장내역(환율표)'!$D$132</f>
        <v>3023.2447815755827</v>
      </c>
      <c r="K31" s="271">
        <f t="shared" si="1"/>
        <v>322558.91000000102</v>
      </c>
      <c r="L31" s="271">
        <f t="shared" si="1"/>
        <v>44955.852093203895</v>
      </c>
      <c r="M31" s="33" t="s">
        <v>994</v>
      </c>
      <c r="N31" s="45">
        <f t="shared" si="2"/>
        <v>5472.8512968050072</v>
      </c>
    </row>
    <row r="32" spans="1:14" s="5" customFormat="1" ht="13.5" customHeight="1">
      <c r="A32" s="263">
        <v>45283</v>
      </c>
      <c r="B32" s="373" t="s">
        <v>894</v>
      </c>
      <c r="C32" s="373"/>
      <c r="D32" s="37">
        <v>5</v>
      </c>
      <c r="E32" s="37" t="s">
        <v>62</v>
      </c>
      <c r="F32" s="355"/>
      <c r="G32" s="375"/>
      <c r="H32" s="33"/>
      <c r="I32" s="278">
        <v>8423.39</v>
      </c>
      <c r="J32" s="354">
        <f>I32/'[3]통장내역(환율표)'!$D$132</f>
        <v>1157.5440845761793</v>
      </c>
      <c r="K32" s="271">
        <f t="shared" si="1"/>
        <v>314135.52000000101</v>
      </c>
      <c r="L32" s="271">
        <f t="shared" si="1"/>
        <v>43798.308008627719</v>
      </c>
      <c r="M32" s="33" t="s">
        <v>994</v>
      </c>
      <c r="N32" s="45">
        <f t="shared" si="2"/>
        <v>4315.3072122288277</v>
      </c>
    </row>
    <row r="33" spans="1:14" s="5" customFormat="1" ht="13.5" customHeight="1">
      <c r="A33" s="263">
        <v>45283</v>
      </c>
      <c r="B33" s="373" t="s">
        <v>895</v>
      </c>
      <c r="C33" s="373"/>
      <c r="D33" s="37">
        <v>5</v>
      </c>
      <c r="E33" s="37" t="s">
        <v>62</v>
      </c>
      <c r="F33" s="355"/>
      <c r="G33" s="375"/>
      <c r="H33" s="33"/>
      <c r="I33" s="278">
        <v>7173.2300000000032</v>
      </c>
      <c r="J33" s="354">
        <f>I33/'[3]통장내역(환율표)'!$D$132</f>
        <v>985.74682566097397</v>
      </c>
      <c r="K33" s="271">
        <f t="shared" si="1"/>
        <v>306962.29000000103</v>
      </c>
      <c r="L33" s="271">
        <f t="shared" si="1"/>
        <v>42812.561182966747</v>
      </c>
      <c r="M33" s="33" t="s">
        <v>994</v>
      </c>
      <c r="N33" s="45">
        <f t="shared" si="2"/>
        <v>3329.5603865678536</v>
      </c>
    </row>
    <row r="34" spans="1:14" s="5" customFormat="1" ht="13.5" customHeight="1">
      <c r="A34" s="263">
        <v>45283</v>
      </c>
      <c r="B34" s="373" t="s">
        <v>899</v>
      </c>
      <c r="C34" s="373"/>
      <c r="D34" s="37">
        <v>5</v>
      </c>
      <c r="E34" s="37" t="s">
        <v>62</v>
      </c>
      <c r="F34" s="355"/>
      <c r="G34" s="375"/>
      <c r="H34" s="33"/>
      <c r="I34" s="278">
        <v>300</v>
      </c>
      <c r="J34" s="354">
        <f>I34/'[3]통장내역(환율표)'!$D$132</f>
        <v>41.226065203303399</v>
      </c>
      <c r="K34" s="271">
        <f t="shared" si="1"/>
        <v>306662.29000000103</v>
      </c>
      <c r="L34" s="271">
        <f t="shared" si="1"/>
        <v>42771.335117763447</v>
      </c>
      <c r="M34" s="33" t="s">
        <v>994</v>
      </c>
      <c r="N34" s="45">
        <f t="shared" si="2"/>
        <v>3288.3343213645503</v>
      </c>
    </row>
    <row r="35" spans="1:14" s="5" customFormat="1" ht="13.5" customHeight="1">
      <c r="A35" s="623">
        <v>45283</v>
      </c>
      <c r="B35" s="624" t="s">
        <v>898</v>
      </c>
      <c r="C35" s="624"/>
      <c r="D35" s="60">
        <v>5</v>
      </c>
      <c r="E35" s="60" t="s">
        <v>62</v>
      </c>
      <c r="F35" s="625"/>
      <c r="G35" s="626"/>
      <c r="H35" s="59"/>
      <c r="I35" s="62">
        <f>J35*'[3]통장내역(환율표)'!$D$132</f>
        <v>23929.043228950162</v>
      </c>
      <c r="J35" s="354">
        <v>3288.3343213645503</v>
      </c>
      <c r="K35" s="270">
        <f t="shared" si="1"/>
        <v>282733.24677105085</v>
      </c>
      <c r="L35" s="270">
        <f t="shared" si="1"/>
        <v>39483.000796398897</v>
      </c>
      <c r="M35" s="59" t="s">
        <v>995</v>
      </c>
      <c r="N35" s="45">
        <f t="shared" si="2"/>
        <v>0</v>
      </c>
    </row>
    <row r="36" spans="1:14" s="5" customFormat="1" ht="13.5" customHeight="1">
      <c r="A36" s="623">
        <v>45283</v>
      </c>
      <c r="B36" s="624" t="s">
        <v>898</v>
      </c>
      <c r="C36" s="624"/>
      <c r="D36" s="60">
        <v>5</v>
      </c>
      <c r="E36" s="60" t="s">
        <v>62</v>
      </c>
      <c r="F36" s="625"/>
      <c r="G36" s="626"/>
      <c r="H36" s="59"/>
      <c r="I36" s="62">
        <f>25000-I35</f>
        <v>1070.9567710498377</v>
      </c>
      <c r="J36" s="382">
        <f>I36/'[3]통장내역(환율표)'!$D$145</f>
        <v>149.54650799159722</v>
      </c>
      <c r="K36" s="270">
        <f t="shared" ref="K36:L51" si="3">K35+G36-I36</f>
        <v>281662.29000000103</v>
      </c>
      <c r="L36" s="270">
        <f t="shared" si="3"/>
        <v>39333.454288407302</v>
      </c>
      <c r="M36" s="59" t="s">
        <v>995</v>
      </c>
      <c r="N36" s="45">
        <f>39483-J36</f>
        <v>39333.453492008404</v>
      </c>
    </row>
    <row r="37" spans="1:14" s="5" customFormat="1" ht="13.5" customHeight="1">
      <c r="A37" s="263">
        <v>45283</v>
      </c>
      <c r="B37" s="373" t="s">
        <v>948</v>
      </c>
      <c r="C37" s="373"/>
      <c r="D37" s="37">
        <v>5</v>
      </c>
      <c r="E37" s="37" t="s">
        <v>62</v>
      </c>
      <c r="F37" s="355"/>
      <c r="G37" s="375"/>
      <c r="H37" s="33"/>
      <c r="I37" s="278">
        <v>5363.71</v>
      </c>
      <c r="J37" s="382">
        <f>I37/'[3]통장내역(환율표)'!$D$145</f>
        <v>748.978971012344</v>
      </c>
      <c r="K37" s="271">
        <f t="shared" si="3"/>
        <v>276298.58000000101</v>
      </c>
      <c r="L37" s="271">
        <f t="shared" si="3"/>
        <v>38584.475317394958</v>
      </c>
      <c r="M37" s="33" t="s">
        <v>995</v>
      </c>
      <c r="N37" s="45">
        <f t="shared" ref="N37:N100" si="4">N36-J37+H37</f>
        <v>38584.47452099606</v>
      </c>
    </row>
    <row r="38" spans="1:14" s="5" customFormat="1" ht="13.5" customHeight="1">
      <c r="A38" s="263">
        <v>45283</v>
      </c>
      <c r="B38" s="373" t="s">
        <v>899</v>
      </c>
      <c r="C38" s="373"/>
      <c r="D38" s="37">
        <v>5</v>
      </c>
      <c r="E38" s="37" t="s">
        <v>62</v>
      </c>
      <c r="F38" s="355"/>
      <c r="G38" s="375"/>
      <c r="H38" s="33"/>
      <c r="I38" s="278">
        <v>300</v>
      </c>
      <c r="J38" s="382">
        <f>I38/'[3]통장내역(환율표)'!$D$145</f>
        <v>41.891469021200479</v>
      </c>
      <c r="K38" s="271">
        <f t="shared" si="3"/>
        <v>275998.58000000101</v>
      </c>
      <c r="L38" s="271">
        <f t="shared" si="3"/>
        <v>38542.583848373753</v>
      </c>
      <c r="M38" s="33" t="s">
        <v>995</v>
      </c>
      <c r="N38" s="45">
        <f t="shared" si="4"/>
        <v>38542.583051974856</v>
      </c>
    </row>
    <row r="39" spans="1:14" s="5" customFormat="1" ht="13.5" customHeight="1">
      <c r="A39" s="263">
        <v>45283</v>
      </c>
      <c r="B39" s="373" t="s">
        <v>898</v>
      </c>
      <c r="C39" s="373"/>
      <c r="D39" s="37">
        <v>5</v>
      </c>
      <c r="E39" s="37" t="s">
        <v>62</v>
      </c>
      <c r="F39" s="355"/>
      <c r="G39" s="375"/>
      <c r="H39" s="33"/>
      <c r="I39" s="278">
        <v>13000</v>
      </c>
      <c r="J39" s="382">
        <f>I39/'[3]통장내역(환율표)'!$D$145</f>
        <v>1815.2969909186872</v>
      </c>
      <c r="K39" s="271">
        <f t="shared" si="3"/>
        <v>262998.58000000101</v>
      </c>
      <c r="L39" s="271">
        <f t="shared" si="3"/>
        <v>36727.286857455067</v>
      </c>
      <c r="M39" s="495" t="s">
        <v>996</v>
      </c>
      <c r="N39" s="45">
        <f t="shared" si="4"/>
        <v>36727.286061056169</v>
      </c>
    </row>
    <row r="40" spans="1:14" s="5" customFormat="1" ht="13.5" customHeight="1">
      <c r="A40" s="263">
        <v>45283</v>
      </c>
      <c r="B40" s="373" t="s">
        <v>948</v>
      </c>
      <c r="C40" s="373"/>
      <c r="D40" s="37">
        <v>5</v>
      </c>
      <c r="E40" s="37" t="s">
        <v>62</v>
      </c>
      <c r="F40" s="355"/>
      <c r="G40" s="375"/>
      <c r="H40" s="33"/>
      <c r="I40" s="278">
        <v>2816.83</v>
      </c>
      <c r="J40" s="382">
        <f>I40/'[3]통장내역(환율표)'!$D$145</f>
        <v>393.33715560996046</v>
      </c>
      <c r="K40" s="271">
        <f t="shared" si="3"/>
        <v>260181.75000000102</v>
      </c>
      <c r="L40" s="271">
        <f t="shared" si="3"/>
        <v>36333.949701845107</v>
      </c>
      <c r="M40" s="495" t="s">
        <v>996</v>
      </c>
      <c r="N40" s="45">
        <f t="shared" si="4"/>
        <v>36333.94890544621</v>
      </c>
    </row>
    <row r="41" spans="1:14" s="5" customFormat="1" ht="13.5" customHeight="1">
      <c r="A41" s="263">
        <v>45283</v>
      </c>
      <c r="B41" s="373" t="s">
        <v>899</v>
      </c>
      <c r="C41" s="373"/>
      <c r="D41" s="37">
        <v>5</v>
      </c>
      <c r="E41" s="37" t="s">
        <v>62</v>
      </c>
      <c r="F41" s="355"/>
      <c r="G41" s="375"/>
      <c r="H41" s="33"/>
      <c r="I41" s="278">
        <v>300</v>
      </c>
      <c r="J41" s="382">
        <f>I41/'[3]통장내역(환율표)'!$D$145</f>
        <v>41.891469021200479</v>
      </c>
      <c r="K41" s="271">
        <f t="shared" si="3"/>
        <v>259881.75000000102</v>
      </c>
      <c r="L41" s="271">
        <f t="shared" si="3"/>
        <v>36292.058232823903</v>
      </c>
      <c r="M41" s="495" t="s">
        <v>996</v>
      </c>
      <c r="N41" s="45">
        <f t="shared" si="4"/>
        <v>36292.057436425006</v>
      </c>
    </row>
    <row r="42" spans="1:14" s="5" customFormat="1" ht="13.5" customHeight="1">
      <c r="A42" s="263">
        <v>45283</v>
      </c>
      <c r="B42" s="373" t="s">
        <v>861</v>
      </c>
      <c r="C42" s="373"/>
      <c r="D42" s="37">
        <v>5</v>
      </c>
      <c r="E42" s="37" t="s">
        <v>62</v>
      </c>
      <c r="F42" s="355"/>
      <c r="G42" s="375"/>
      <c r="H42" s="33"/>
      <c r="I42" s="278">
        <v>2000</v>
      </c>
      <c r="J42" s="382">
        <f>I42/'[3]통장내역(환율표)'!$D$145</f>
        <v>279.27646014133649</v>
      </c>
      <c r="K42" s="271">
        <f t="shared" si="3"/>
        <v>257881.75000000102</v>
      </c>
      <c r="L42" s="271">
        <f t="shared" si="3"/>
        <v>36012.781772682567</v>
      </c>
      <c r="M42" s="495" t="s">
        <v>996</v>
      </c>
      <c r="N42" s="45">
        <f t="shared" si="4"/>
        <v>36012.78097628367</v>
      </c>
    </row>
    <row r="43" spans="1:14" s="5" customFormat="1" ht="13.5" customHeight="1">
      <c r="A43" s="263">
        <v>45283</v>
      </c>
      <c r="B43" s="373" t="s">
        <v>898</v>
      </c>
      <c r="C43" s="373"/>
      <c r="D43" s="37">
        <v>5</v>
      </c>
      <c r="E43" s="37" t="s">
        <v>62</v>
      </c>
      <c r="F43" s="355"/>
      <c r="G43" s="375"/>
      <c r="H43" s="33"/>
      <c r="I43" s="278">
        <v>25000</v>
      </c>
      <c r="J43" s="382">
        <f>I43/'[3]통장내역(환율표)'!$D$145</f>
        <v>3490.9557517667063</v>
      </c>
      <c r="K43" s="271">
        <f t="shared" si="3"/>
        <v>232881.75000000102</v>
      </c>
      <c r="L43" s="271">
        <f t="shared" si="3"/>
        <v>32521.826020915862</v>
      </c>
      <c r="M43" s="33" t="s">
        <v>902</v>
      </c>
      <c r="N43" s="45">
        <f t="shared" si="4"/>
        <v>32521.825224516964</v>
      </c>
    </row>
    <row r="44" spans="1:14" s="5" customFormat="1" ht="13.5" customHeight="1">
      <c r="A44" s="263">
        <v>45283</v>
      </c>
      <c r="B44" s="373" t="s">
        <v>948</v>
      </c>
      <c r="C44" s="373"/>
      <c r="D44" s="37">
        <v>5</v>
      </c>
      <c r="E44" s="37" t="s">
        <v>62</v>
      </c>
      <c r="F44" s="355"/>
      <c r="G44" s="375"/>
      <c r="H44" s="33"/>
      <c r="I44" s="278">
        <v>6738.71</v>
      </c>
      <c r="J44" s="382">
        <f>I44/'[3]통장내역(환율표)'!$D$145</f>
        <v>940.98153735951291</v>
      </c>
      <c r="K44" s="271">
        <f t="shared" si="3"/>
        <v>226143.04000000103</v>
      </c>
      <c r="L44" s="271">
        <f t="shared" si="3"/>
        <v>31580.84448355635</v>
      </c>
      <c r="M44" s="33" t="s">
        <v>902</v>
      </c>
      <c r="N44" s="45">
        <f t="shared" si="4"/>
        <v>31580.843687157452</v>
      </c>
    </row>
    <row r="45" spans="1:14" s="5" customFormat="1" ht="13.5" customHeight="1">
      <c r="A45" s="263">
        <v>45283</v>
      </c>
      <c r="B45" s="373" t="s">
        <v>899</v>
      </c>
      <c r="C45" s="373"/>
      <c r="D45" s="37">
        <v>5</v>
      </c>
      <c r="E45" s="37" t="s">
        <v>62</v>
      </c>
      <c r="F45" s="355"/>
      <c r="G45" s="375"/>
      <c r="H45" s="33"/>
      <c r="I45" s="278">
        <v>300</v>
      </c>
      <c r="J45" s="382">
        <f>I45/'[3]통장내역(환율표)'!$D$145</f>
        <v>41.891469021200479</v>
      </c>
      <c r="K45" s="271">
        <f t="shared" si="3"/>
        <v>225843.04000000103</v>
      </c>
      <c r="L45" s="271">
        <f t="shared" si="3"/>
        <v>31538.953014535149</v>
      </c>
      <c r="M45" s="33" t="s">
        <v>902</v>
      </c>
      <c r="N45" s="45">
        <f t="shared" si="4"/>
        <v>31538.952218136252</v>
      </c>
    </row>
    <row r="46" spans="1:14" s="5" customFormat="1" ht="13.5" customHeight="1">
      <c r="A46" s="263">
        <v>45283</v>
      </c>
      <c r="B46" s="373" t="s">
        <v>861</v>
      </c>
      <c r="C46" s="373"/>
      <c r="D46" s="37">
        <v>5</v>
      </c>
      <c r="E46" s="37" t="s">
        <v>62</v>
      </c>
      <c r="F46" s="355"/>
      <c r="G46" s="375"/>
      <c r="H46" s="33"/>
      <c r="I46" s="278">
        <v>600</v>
      </c>
      <c r="J46" s="382">
        <f>I46/'[3]통장내역(환율표)'!$D$145</f>
        <v>83.782938042400957</v>
      </c>
      <c r="K46" s="271">
        <f t="shared" si="3"/>
        <v>225243.04000000103</v>
      </c>
      <c r="L46" s="271">
        <f t="shared" si="3"/>
        <v>31455.170076492748</v>
      </c>
      <c r="M46" s="33" t="s">
        <v>902</v>
      </c>
      <c r="N46" s="45">
        <f t="shared" si="4"/>
        <v>31455.169280093851</v>
      </c>
    </row>
    <row r="47" spans="1:14" s="5" customFormat="1" ht="13.5" customHeight="1">
      <c r="A47" s="263">
        <v>45283</v>
      </c>
      <c r="B47" s="433" t="s">
        <v>250</v>
      </c>
      <c r="C47" s="373"/>
      <c r="D47" s="37">
        <v>6</v>
      </c>
      <c r="E47" s="37" t="s">
        <v>62</v>
      </c>
      <c r="F47" s="355"/>
      <c r="G47" s="375"/>
      <c r="H47" s="33"/>
      <c r="I47" s="278">
        <v>12</v>
      </c>
      <c r="J47" s="382">
        <f>I47/'[3]통장내역(환율표)'!$D$145</f>
        <v>1.6756587608480191</v>
      </c>
      <c r="K47" s="271">
        <f t="shared" si="3"/>
        <v>225231.04000000103</v>
      </c>
      <c r="L47" s="271">
        <f t="shared" si="3"/>
        <v>31453.494417731901</v>
      </c>
      <c r="M47" s="33"/>
      <c r="N47" s="45">
        <f t="shared" si="4"/>
        <v>31453.493621333004</v>
      </c>
    </row>
    <row r="48" spans="1:14" s="5" customFormat="1" ht="13.5" customHeight="1">
      <c r="A48" s="263">
        <v>45283</v>
      </c>
      <c r="B48" s="373" t="s">
        <v>732</v>
      </c>
      <c r="C48" s="373"/>
      <c r="D48" s="37">
        <v>7</v>
      </c>
      <c r="E48" s="37" t="s">
        <v>62</v>
      </c>
      <c r="F48" s="355"/>
      <c r="G48" s="375"/>
      <c r="H48" s="33"/>
      <c r="I48" s="278">
        <v>1454.44</v>
      </c>
      <c r="J48" s="382">
        <f>I48/'[3]통장내역(환율표)'!$D$145</f>
        <v>203.09542734398275</v>
      </c>
      <c r="K48" s="271">
        <f t="shared" si="3"/>
        <v>223776.60000000102</v>
      </c>
      <c r="L48" s="271">
        <f t="shared" si="3"/>
        <v>31250.398990387919</v>
      </c>
      <c r="M48" s="33"/>
      <c r="N48" s="45">
        <f t="shared" si="4"/>
        <v>31250.398193989022</v>
      </c>
    </row>
    <row r="49" spans="1:14" s="5" customFormat="1" ht="13.5" customHeight="1">
      <c r="A49" s="263">
        <v>45283</v>
      </c>
      <c r="B49" s="433" t="s">
        <v>250</v>
      </c>
      <c r="C49" s="373"/>
      <c r="D49" s="37">
        <v>8</v>
      </c>
      <c r="E49" s="37" t="s">
        <v>62</v>
      </c>
      <c r="F49" s="355"/>
      <c r="G49" s="375"/>
      <c r="H49" s="33"/>
      <c r="I49" s="278">
        <v>3.6</v>
      </c>
      <c r="J49" s="382">
        <f>I49/'[3]통장내역(환율표)'!$D$145</f>
        <v>0.50269762825440578</v>
      </c>
      <c r="K49" s="271">
        <f t="shared" si="3"/>
        <v>223773.00000000102</v>
      </c>
      <c r="L49" s="271">
        <f t="shared" si="3"/>
        <v>31249.896292759666</v>
      </c>
      <c r="M49" s="33"/>
      <c r="N49" s="45">
        <f t="shared" si="4"/>
        <v>31249.895496360768</v>
      </c>
    </row>
    <row r="50" spans="1:14" s="5" customFormat="1" ht="13.5" customHeight="1">
      <c r="A50" s="263">
        <v>45283</v>
      </c>
      <c r="B50" s="373" t="s">
        <v>304</v>
      </c>
      <c r="C50" s="373"/>
      <c r="D50" s="37">
        <v>9</v>
      </c>
      <c r="E50" s="37" t="s">
        <v>105</v>
      </c>
      <c r="F50" s="355" t="s">
        <v>106</v>
      </c>
      <c r="G50" s="375"/>
      <c r="H50" s="33"/>
      <c r="I50" s="627">
        <v>20023</v>
      </c>
      <c r="J50" s="382">
        <f>I50/'[3]통장내역(환율표)'!$D$145</f>
        <v>2795.9762807049906</v>
      </c>
      <c r="K50" s="271">
        <f t="shared" si="3"/>
        <v>203750.00000000102</v>
      </c>
      <c r="L50" s="271">
        <f t="shared" si="3"/>
        <v>28453.920012054674</v>
      </c>
      <c r="M50" s="33"/>
      <c r="N50" s="45">
        <f t="shared" si="4"/>
        <v>28453.919215655776</v>
      </c>
    </row>
    <row r="51" spans="1:14" s="5" customFormat="1" ht="13.5" customHeight="1">
      <c r="A51" s="263">
        <v>45283</v>
      </c>
      <c r="B51" s="433" t="s">
        <v>250</v>
      </c>
      <c r="C51" s="373"/>
      <c r="D51" s="37">
        <v>10</v>
      </c>
      <c r="E51" s="37" t="s">
        <v>62</v>
      </c>
      <c r="F51" s="355"/>
      <c r="G51" s="375"/>
      <c r="H51" s="33"/>
      <c r="I51" s="33">
        <v>7.2</v>
      </c>
      <c r="J51" s="382">
        <f>I51/'[3]통장내역(환율표)'!$D$145</f>
        <v>1.0053952565088116</v>
      </c>
      <c r="K51" s="271">
        <f t="shared" si="3"/>
        <v>203742.80000000101</v>
      </c>
      <c r="L51" s="271">
        <f t="shared" si="3"/>
        <v>28452.914616798163</v>
      </c>
      <c r="M51" s="33"/>
      <c r="N51" s="45">
        <f t="shared" si="4"/>
        <v>28452.913820399266</v>
      </c>
    </row>
    <row r="52" spans="1:14" s="5" customFormat="1" ht="13.5" customHeight="1">
      <c r="A52" s="263">
        <v>45283</v>
      </c>
      <c r="B52" s="321" t="s">
        <v>346</v>
      </c>
      <c r="C52" s="373"/>
      <c r="D52" s="37">
        <v>11</v>
      </c>
      <c r="E52" s="37" t="s">
        <v>15</v>
      </c>
      <c r="F52" s="355" t="s">
        <v>320</v>
      </c>
      <c r="G52" s="375"/>
      <c r="H52" s="33"/>
      <c r="I52" s="38">
        <v>10500</v>
      </c>
      <c r="J52" s="382">
        <f>I52/'[3]통장내역(환율표)'!$D$145</f>
        <v>1466.2014157420167</v>
      </c>
      <c r="K52" s="271">
        <f t="shared" ref="K52:L67" si="5">K51+G52-I52</f>
        <v>193242.80000000101</v>
      </c>
      <c r="L52" s="271">
        <f t="shared" si="5"/>
        <v>26986.713201056147</v>
      </c>
      <c r="M52" s="33"/>
      <c r="N52" s="45">
        <f t="shared" si="4"/>
        <v>26986.71240465725</v>
      </c>
    </row>
    <row r="53" spans="1:14" s="5" customFormat="1" ht="13.5" customHeight="1">
      <c r="A53" s="263">
        <v>45283</v>
      </c>
      <c r="B53" s="321" t="s">
        <v>347</v>
      </c>
      <c r="C53" s="373"/>
      <c r="D53" s="37">
        <v>12</v>
      </c>
      <c r="E53" s="37" t="s">
        <v>62</v>
      </c>
      <c r="F53" s="355"/>
      <c r="G53" s="375"/>
      <c r="H53" s="33"/>
      <c r="I53" s="38">
        <v>6000</v>
      </c>
      <c r="J53" s="382">
        <f>I53/'[3]통장내역(환율표)'!$D$145</f>
        <v>837.82938042400951</v>
      </c>
      <c r="K53" s="271">
        <f t="shared" si="5"/>
        <v>187242.80000000101</v>
      </c>
      <c r="L53" s="271">
        <f t="shared" si="5"/>
        <v>26148.883820632138</v>
      </c>
      <c r="M53" s="33"/>
      <c r="N53" s="45">
        <f t="shared" si="4"/>
        <v>26148.883024233241</v>
      </c>
    </row>
    <row r="54" spans="1:14" s="5" customFormat="1" ht="13.5" customHeight="1">
      <c r="A54" s="263">
        <v>45283</v>
      </c>
      <c r="B54" s="321" t="s">
        <v>351</v>
      </c>
      <c r="C54" s="373"/>
      <c r="D54" s="37">
        <v>13</v>
      </c>
      <c r="E54" s="37" t="s">
        <v>62</v>
      </c>
      <c r="F54" s="355"/>
      <c r="G54" s="375"/>
      <c r="H54" s="33"/>
      <c r="I54" s="278">
        <v>1040</v>
      </c>
      <c r="J54" s="382">
        <f>I54/'[3]통장내역(환율표)'!$D$145</f>
        <v>145.22375927349498</v>
      </c>
      <c r="K54" s="271">
        <f t="shared" si="5"/>
        <v>186202.80000000101</v>
      </c>
      <c r="L54" s="271">
        <f t="shared" si="5"/>
        <v>26003.660061358642</v>
      </c>
      <c r="M54" s="33"/>
      <c r="N54" s="45">
        <f t="shared" si="4"/>
        <v>26003.659264959744</v>
      </c>
    </row>
    <row r="55" spans="1:14" s="5" customFormat="1" ht="13.5" customHeight="1">
      <c r="A55" s="263">
        <v>45283</v>
      </c>
      <c r="B55" s="321" t="s">
        <v>346</v>
      </c>
      <c r="C55" s="373"/>
      <c r="D55" s="37">
        <v>14</v>
      </c>
      <c r="E55" s="37" t="s">
        <v>15</v>
      </c>
      <c r="F55" s="355" t="s">
        <v>320</v>
      </c>
      <c r="G55" s="375"/>
      <c r="H55" s="33"/>
      <c r="I55" s="278">
        <v>7000</v>
      </c>
      <c r="J55" s="382">
        <f>I55/'[3]통장내역(환율표)'!$D$145</f>
        <v>977.46761049467784</v>
      </c>
      <c r="K55" s="271">
        <f t="shared" si="5"/>
        <v>179202.80000000101</v>
      </c>
      <c r="L55" s="271">
        <f t="shared" si="5"/>
        <v>25026.192450863964</v>
      </c>
      <c r="M55" s="33"/>
      <c r="N55" s="45">
        <f t="shared" si="4"/>
        <v>25026.191654465067</v>
      </c>
    </row>
    <row r="56" spans="1:14" s="5" customFormat="1" ht="13.5" customHeight="1">
      <c r="A56" s="263">
        <v>45283</v>
      </c>
      <c r="B56" s="321" t="s">
        <v>347</v>
      </c>
      <c r="C56" s="373"/>
      <c r="D56" s="37">
        <v>15</v>
      </c>
      <c r="E56" s="37" t="s">
        <v>62</v>
      </c>
      <c r="F56" s="355"/>
      <c r="G56" s="375"/>
      <c r="H56" s="33"/>
      <c r="I56" s="278">
        <v>6000</v>
      </c>
      <c r="J56" s="382">
        <f>I56/'[3]통장내역(환율표)'!$D$145</f>
        <v>837.82938042400951</v>
      </c>
      <c r="K56" s="271">
        <f t="shared" si="5"/>
        <v>173202.80000000101</v>
      </c>
      <c r="L56" s="271">
        <f t="shared" si="5"/>
        <v>24188.363070439955</v>
      </c>
      <c r="M56" s="33"/>
      <c r="N56" s="45">
        <f t="shared" si="4"/>
        <v>24188.362274041057</v>
      </c>
    </row>
    <row r="57" spans="1:14" s="5" customFormat="1" ht="13.5" customHeight="1">
      <c r="A57" s="263">
        <v>45283</v>
      </c>
      <c r="B57" s="321" t="s">
        <v>351</v>
      </c>
      <c r="C57" s="373"/>
      <c r="D57" s="37">
        <v>16</v>
      </c>
      <c r="E57" s="37" t="s">
        <v>62</v>
      </c>
      <c r="F57" s="355"/>
      <c r="G57" s="375"/>
      <c r="H57" s="33"/>
      <c r="I57" s="278">
        <v>1070</v>
      </c>
      <c r="J57" s="382">
        <f>I57/'[3]통장내역(환율표)'!$D$145</f>
        <v>149.41290617561503</v>
      </c>
      <c r="K57" s="271">
        <f t="shared" si="5"/>
        <v>172132.80000000101</v>
      </c>
      <c r="L57" s="271">
        <f t="shared" si="5"/>
        <v>24038.950164264341</v>
      </c>
      <c r="M57" s="33"/>
      <c r="N57" s="45">
        <f t="shared" si="4"/>
        <v>24038.949367865443</v>
      </c>
    </row>
    <row r="58" spans="1:14" s="5" customFormat="1" ht="13.5" customHeight="1">
      <c r="A58" s="263">
        <v>45283</v>
      </c>
      <c r="B58" s="321" t="s">
        <v>250</v>
      </c>
      <c r="C58" s="373"/>
      <c r="D58" s="37">
        <v>17</v>
      </c>
      <c r="E58" s="37" t="s">
        <v>62</v>
      </c>
      <c r="F58" s="355"/>
      <c r="G58" s="375"/>
      <c r="H58" s="33"/>
      <c r="I58" s="278">
        <v>7.2</v>
      </c>
      <c r="J58" s="382">
        <f>I58/'[3]통장내역(환율표)'!$D$145</f>
        <v>1.0053952565088116</v>
      </c>
      <c r="K58" s="271">
        <f t="shared" si="5"/>
        <v>172125.600000001</v>
      </c>
      <c r="L58" s="271">
        <f t="shared" si="5"/>
        <v>24037.94476900783</v>
      </c>
      <c r="M58" s="33"/>
      <c r="N58" s="45">
        <f t="shared" si="4"/>
        <v>24037.943972608933</v>
      </c>
    </row>
    <row r="59" spans="1:14" s="5" customFormat="1" ht="13.5" customHeight="1">
      <c r="A59" s="263">
        <v>45283</v>
      </c>
      <c r="B59" s="373" t="s">
        <v>885</v>
      </c>
      <c r="C59" s="373"/>
      <c r="D59" s="37">
        <v>18</v>
      </c>
      <c r="E59" s="37" t="s">
        <v>62</v>
      </c>
      <c r="F59" s="355"/>
      <c r="G59" s="375"/>
      <c r="H59" s="33"/>
      <c r="I59" s="278">
        <v>1010</v>
      </c>
      <c r="J59" s="382">
        <f>I59/'[3]통장내역(환율표)'!$D$145</f>
        <v>141.03461237137495</v>
      </c>
      <c r="K59" s="271">
        <f t="shared" si="5"/>
        <v>171115.600000001</v>
      </c>
      <c r="L59" s="271">
        <f t="shared" si="5"/>
        <v>23896.910156636455</v>
      </c>
      <c r="M59" s="33"/>
      <c r="N59" s="45">
        <f t="shared" si="4"/>
        <v>23896.909360237558</v>
      </c>
    </row>
    <row r="60" spans="1:14" s="5" customFormat="1" ht="13.5" customHeight="1">
      <c r="A60" s="263">
        <v>45283</v>
      </c>
      <c r="B60" s="321" t="s">
        <v>250</v>
      </c>
      <c r="C60" s="373"/>
      <c r="D60" s="37">
        <v>19</v>
      </c>
      <c r="E60" s="37" t="s">
        <v>62</v>
      </c>
      <c r="F60" s="355"/>
      <c r="G60" s="375"/>
      <c r="H60" s="33"/>
      <c r="I60" s="278">
        <v>3.6</v>
      </c>
      <c r="J60" s="382">
        <f>I60/'[3]통장내역(환율표)'!$D$145</f>
        <v>0.50269762825440578</v>
      </c>
      <c r="K60" s="271">
        <f t="shared" si="5"/>
        <v>171112.00000000099</v>
      </c>
      <c r="L60" s="271">
        <f t="shared" si="5"/>
        <v>23896.407459008202</v>
      </c>
      <c r="M60" s="33"/>
      <c r="N60" s="45">
        <f t="shared" si="4"/>
        <v>23896.406662609304</v>
      </c>
    </row>
    <row r="61" spans="1:14" s="5" customFormat="1" ht="13.5" customHeight="1">
      <c r="A61" s="263">
        <v>45283</v>
      </c>
      <c r="B61" s="373" t="s">
        <v>1005</v>
      </c>
      <c r="C61" s="373"/>
      <c r="D61" s="37">
        <v>20</v>
      </c>
      <c r="E61" s="37" t="s">
        <v>146</v>
      </c>
      <c r="F61" s="355" t="s">
        <v>147</v>
      </c>
      <c r="G61" s="375"/>
      <c r="H61" s="33"/>
      <c r="I61" s="278">
        <v>2212</v>
      </c>
      <c r="J61" s="382">
        <f>I61/'[3]통장내역(환율표)'!$D$145</f>
        <v>308.87976491631821</v>
      </c>
      <c r="K61" s="271">
        <f t="shared" si="5"/>
        <v>168900.00000000099</v>
      </c>
      <c r="L61" s="271">
        <f t="shared" si="5"/>
        <v>23587.527694091885</v>
      </c>
      <c r="M61" s="33"/>
      <c r="N61" s="45">
        <f t="shared" si="4"/>
        <v>23587.526897692987</v>
      </c>
    </row>
    <row r="62" spans="1:14" s="5" customFormat="1" ht="13.5" customHeight="1">
      <c r="A62" s="263">
        <v>45283</v>
      </c>
      <c r="B62" s="373" t="s">
        <v>1003</v>
      </c>
      <c r="C62" s="373"/>
      <c r="D62" s="37">
        <v>20</v>
      </c>
      <c r="E62" s="37" t="s">
        <v>146</v>
      </c>
      <c r="F62" s="355" t="s">
        <v>147</v>
      </c>
      <c r="G62" s="375"/>
      <c r="H62" s="33"/>
      <c r="I62" s="278">
        <v>973</v>
      </c>
      <c r="J62" s="382">
        <f>I62/'[3]통장내역(환율표)'!$D$145</f>
        <v>135.86799785876022</v>
      </c>
      <c r="K62" s="271">
        <f t="shared" si="5"/>
        <v>167927.00000000099</v>
      </c>
      <c r="L62" s="271">
        <f t="shared" si="5"/>
        <v>23451.659696233124</v>
      </c>
      <c r="M62" s="33"/>
      <c r="N62" s="45">
        <f t="shared" si="4"/>
        <v>23451.658899834227</v>
      </c>
    </row>
    <row r="63" spans="1:14" s="5" customFormat="1" ht="13.5" customHeight="1">
      <c r="A63" s="263">
        <v>45283</v>
      </c>
      <c r="B63" s="373" t="s">
        <v>1004</v>
      </c>
      <c r="C63" s="373"/>
      <c r="D63" s="37">
        <v>20</v>
      </c>
      <c r="E63" s="37" t="s">
        <v>146</v>
      </c>
      <c r="F63" s="355" t="s">
        <v>147</v>
      </c>
      <c r="G63" s="375"/>
      <c r="H63" s="33"/>
      <c r="I63" s="278">
        <v>298</v>
      </c>
      <c r="J63" s="382">
        <f>I63/'[3]통장내역(환율표)'!$D$145</f>
        <v>41.612192561059139</v>
      </c>
      <c r="K63" s="271">
        <f t="shared" si="5"/>
        <v>167629.00000000099</v>
      </c>
      <c r="L63" s="271">
        <f t="shared" si="5"/>
        <v>23410.047503672064</v>
      </c>
      <c r="M63" s="33"/>
      <c r="N63" s="45">
        <f t="shared" si="4"/>
        <v>23410.046707273166</v>
      </c>
    </row>
    <row r="64" spans="1:14" s="5" customFormat="1" ht="13.5" customHeight="1">
      <c r="A64" s="263">
        <v>45283</v>
      </c>
      <c r="B64" s="321" t="s">
        <v>250</v>
      </c>
      <c r="C64" s="373"/>
      <c r="D64" s="37">
        <v>21</v>
      </c>
      <c r="E64" s="37" t="s">
        <v>62</v>
      </c>
      <c r="F64" s="355"/>
      <c r="G64" s="375"/>
      <c r="H64" s="33"/>
      <c r="I64" s="278">
        <v>3.6</v>
      </c>
      <c r="J64" s="382">
        <f>I64/'[3]통장내역(환율표)'!$D$145</f>
        <v>0.50269762825440578</v>
      </c>
      <c r="K64" s="271">
        <f t="shared" si="5"/>
        <v>167625.40000000098</v>
      </c>
      <c r="L64" s="271">
        <f t="shared" si="5"/>
        <v>23409.54480604381</v>
      </c>
      <c r="M64" s="33"/>
      <c r="N64" s="45">
        <f t="shared" si="4"/>
        <v>23409.544009644913</v>
      </c>
    </row>
    <row r="65" spans="1:14" s="5" customFormat="1" ht="13.5" customHeight="1">
      <c r="A65" s="263">
        <v>45283</v>
      </c>
      <c r="B65" s="373" t="s">
        <v>1008</v>
      </c>
      <c r="C65" s="373"/>
      <c r="D65" s="37">
        <v>22</v>
      </c>
      <c r="E65" s="37" t="s">
        <v>146</v>
      </c>
      <c r="F65" s="355" t="s">
        <v>147</v>
      </c>
      <c r="G65" s="375"/>
      <c r="H65" s="33"/>
      <c r="I65" s="278">
        <v>2330</v>
      </c>
      <c r="J65" s="382">
        <f>I65/'[3]통장내역(환율표)'!$D$145</f>
        <v>325.35707606465706</v>
      </c>
      <c r="K65" s="271">
        <f t="shared" si="5"/>
        <v>165295.40000000098</v>
      </c>
      <c r="L65" s="271">
        <f t="shared" si="5"/>
        <v>23084.187729979152</v>
      </c>
      <c r="M65" s="33"/>
      <c r="N65" s="45">
        <f t="shared" si="4"/>
        <v>23084.186933580255</v>
      </c>
    </row>
    <row r="66" spans="1:14" s="5" customFormat="1" ht="13.5" customHeight="1">
      <c r="A66" s="263">
        <v>45283</v>
      </c>
      <c r="B66" s="373" t="s">
        <v>1006</v>
      </c>
      <c r="C66" s="373"/>
      <c r="D66" s="37">
        <v>22</v>
      </c>
      <c r="E66" s="37" t="s">
        <v>146</v>
      </c>
      <c r="F66" s="355" t="s">
        <v>147</v>
      </c>
      <c r="G66" s="375"/>
      <c r="H66" s="33"/>
      <c r="I66" s="278">
        <v>1068</v>
      </c>
      <c r="J66" s="382">
        <f>I66/'[3]통장내역(환율표)'!$D$145</f>
        <v>149.13362971547369</v>
      </c>
      <c r="K66" s="271">
        <f t="shared" si="5"/>
        <v>164227.40000000098</v>
      </c>
      <c r="L66" s="271">
        <f t="shared" si="5"/>
        <v>22935.054100263678</v>
      </c>
      <c r="M66" s="33"/>
      <c r="N66" s="45">
        <f t="shared" si="4"/>
        <v>22935.053303864781</v>
      </c>
    </row>
    <row r="67" spans="1:14" s="5" customFormat="1" ht="13.5" customHeight="1">
      <c r="A67" s="263">
        <v>45283</v>
      </c>
      <c r="B67" s="373" t="s">
        <v>1007</v>
      </c>
      <c r="C67" s="373"/>
      <c r="D67" s="37">
        <v>22</v>
      </c>
      <c r="E67" s="37" t="s">
        <v>146</v>
      </c>
      <c r="F67" s="355" t="s">
        <v>147</v>
      </c>
      <c r="G67" s="375"/>
      <c r="H67" s="33"/>
      <c r="I67" s="278">
        <v>440</v>
      </c>
      <c r="J67" s="382">
        <f>I67/'[3]통장내역(환율표)'!$D$145</f>
        <v>61.440821231094034</v>
      </c>
      <c r="K67" s="271">
        <f t="shared" si="5"/>
        <v>163787.40000000098</v>
      </c>
      <c r="L67" s="271">
        <f t="shared" si="5"/>
        <v>22873.613279032583</v>
      </c>
      <c r="M67" s="33"/>
      <c r="N67" s="45">
        <f t="shared" si="4"/>
        <v>22873.612482633685</v>
      </c>
    </row>
    <row r="68" spans="1:14" s="5" customFormat="1" ht="13.5" customHeight="1">
      <c r="A68" s="263">
        <v>45283</v>
      </c>
      <c r="B68" s="321" t="s">
        <v>250</v>
      </c>
      <c r="C68" s="373"/>
      <c r="D68" s="37">
        <v>23</v>
      </c>
      <c r="E68" s="37" t="s">
        <v>62</v>
      </c>
      <c r="F68" s="355"/>
      <c r="G68" s="375"/>
      <c r="H68" s="33"/>
      <c r="I68" s="278">
        <v>3.6</v>
      </c>
      <c r="J68" s="382">
        <f>I68/'[3]통장내역(환율표)'!$D$145</f>
        <v>0.50269762825440578</v>
      </c>
      <c r="K68" s="271">
        <f t="shared" ref="K68:L83" si="6">K67+G68-I68</f>
        <v>163783.80000000098</v>
      </c>
      <c r="L68" s="271">
        <f t="shared" si="6"/>
        <v>22873.110581404329</v>
      </c>
      <c r="M68" s="33"/>
      <c r="N68" s="45">
        <f t="shared" si="4"/>
        <v>22873.109785005432</v>
      </c>
    </row>
    <row r="69" spans="1:14" s="5" customFormat="1" ht="13.5" customHeight="1">
      <c r="A69" s="263">
        <v>45283</v>
      </c>
      <c r="B69" s="373" t="s">
        <v>1098</v>
      </c>
      <c r="C69" s="373"/>
      <c r="D69" s="37">
        <v>24</v>
      </c>
      <c r="E69" s="37" t="s">
        <v>146</v>
      </c>
      <c r="F69" s="355" t="s">
        <v>147</v>
      </c>
      <c r="G69" s="375"/>
      <c r="H69" s="33"/>
      <c r="I69" s="278">
        <v>5837</v>
      </c>
      <c r="J69" s="382">
        <f>I69/'[3]통장내역(환율표)'!$D$145</f>
        <v>815.0683489224906</v>
      </c>
      <c r="K69" s="271">
        <f t="shared" si="6"/>
        <v>157946.80000000098</v>
      </c>
      <c r="L69" s="271">
        <f t="shared" si="6"/>
        <v>22058.042232481839</v>
      </c>
      <c r="M69" s="33"/>
      <c r="N69" s="45">
        <f t="shared" si="4"/>
        <v>22058.041436082942</v>
      </c>
    </row>
    <row r="70" spans="1:14" s="5" customFormat="1" ht="13.5" customHeight="1">
      <c r="A70" s="263">
        <v>45283</v>
      </c>
      <c r="B70" s="373" t="s">
        <v>1016</v>
      </c>
      <c r="C70" s="373"/>
      <c r="D70" s="37">
        <v>25</v>
      </c>
      <c r="E70" s="37" t="s">
        <v>107</v>
      </c>
      <c r="F70" s="355"/>
      <c r="G70" s="375"/>
      <c r="H70" s="33"/>
      <c r="I70" s="278">
        <v>298.85000000000002</v>
      </c>
      <c r="J70" s="382">
        <f>I70/'[3]통장내역(환율표)'!$D$145</f>
        <v>41.730885056619215</v>
      </c>
      <c r="K70" s="271">
        <f t="shared" si="6"/>
        <v>157647.95000000097</v>
      </c>
      <c r="L70" s="271">
        <f t="shared" si="6"/>
        <v>22016.31134742522</v>
      </c>
      <c r="M70" s="495"/>
      <c r="N70" s="45">
        <f t="shared" si="4"/>
        <v>22016.310551026323</v>
      </c>
    </row>
    <row r="71" spans="1:14" s="5" customFormat="1" ht="13.5" customHeight="1">
      <c r="A71" s="263">
        <v>45283</v>
      </c>
      <c r="B71" s="373" t="s">
        <v>1099</v>
      </c>
      <c r="C71" s="373"/>
      <c r="D71" s="37">
        <v>26</v>
      </c>
      <c r="E71" s="37" t="s">
        <v>146</v>
      </c>
      <c r="F71" s="355" t="s">
        <v>147</v>
      </c>
      <c r="G71" s="375"/>
      <c r="H71" s="33"/>
      <c r="I71" s="278">
        <v>1044.44</v>
      </c>
      <c r="J71" s="382">
        <f>I71/'[3]통장내역(환율표)'!$D$145</f>
        <v>145.84375301500876</v>
      </c>
      <c r="K71" s="271">
        <f t="shared" si="6"/>
        <v>156603.51000000097</v>
      </c>
      <c r="L71" s="271">
        <f t="shared" si="6"/>
        <v>21870.467594410213</v>
      </c>
      <c r="M71" s="495"/>
      <c r="N71" s="45">
        <f t="shared" si="4"/>
        <v>21870.466798011315</v>
      </c>
    </row>
    <row r="72" spans="1:14" s="5" customFormat="1" ht="13.5" customHeight="1">
      <c r="A72" s="263">
        <v>45283</v>
      </c>
      <c r="B72" s="321" t="s">
        <v>250</v>
      </c>
      <c r="C72" s="373"/>
      <c r="D72" s="37">
        <v>27</v>
      </c>
      <c r="E72" s="37" t="s">
        <v>107</v>
      </c>
      <c r="F72" s="355"/>
      <c r="G72" s="375"/>
      <c r="H72" s="33"/>
      <c r="I72" s="278">
        <v>3.6</v>
      </c>
      <c r="J72" s="382">
        <f>I72/'[3]통장내역(환율표)'!$D$145</f>
        <v>0.50269762825440578</v>
      </c>
      <c r="K72" s="271">
        <f t="shared" si="6"/>
        <v>156599.91000000096</v>
      </c>
      <c r="L72" s="271">
        <f t="shared" si="6"/>
        <v>21869.964896781959</v>
      </c>
      <c r="M72" s="495"/>
      <c r="N72" s="45">
        <f t="shared" si="4"/>
        <v>21869.964100383062</v>
      </c>
    </row>
    <row r="73" spans="1:14" s="5" customFormat="1" ht="13.5" customHeight="1">
      <c r="A73" s="263">
        <v>45283</v>
      </c>
      <c r="B73" s="373" t="s">
        <v>1100</v>
      </c>
      <c r="C73" s="373"/>
      <c r="D73" s="37">
        <v>28</v>
      </c>
      <c r="E73" s="37" t="s">
        <v>116</v>
      </c>
      <c r="F73" s="355" t="s">
        <v>140</v>
      </c>
      <c r="G73" s="375"/>
      <c r="H73" s="33"/>
      <c r="I73" s="278">
        <v>1265.4000000000001</v>
      </c>
      <c r="J73" s="382">
        <f>I73/'[3]통장내역(환율표)'!$D$145</f>
        <v>176.69821633142362</v>
      </c>
      <c r="K73" s="271">
        <f t="shared" si="6"/>
        <v>155334.51000000097</v>
      </c>
      <c r="L73" s="271">
        <f t="shared" si="6"/>
        <v>21693.266680450535</v>
      </c>
      <c r="M73" s="33"/>
      <c r="N73" s="45">
        <f t="shared" si="4"/>
        <v>21693.265884051638</v>
      </c>
    </row>
    <row r="74" spans="1:14" s="5" customFormat="1" ht="13.5" customHeight="1">
      <c r="A74" s="263">
        <v>45283</v>
      </c>
      <c r="B74" s="373" t="s">
        <v>1101</v>
      </c>
      <c r="C74" s="373"/>
      <c r="D74" s="37">
        <v>29</v>
      </c>
      <c r="E74" s="37" t="s">
        <v>107</v>
      </c>
      <c r="F74" s="355"/>
      <c r="G74" s="375"/>
      <c r="H74" s="33"/>
      <c r="I74" s="278">
        <v>482.1</v>
      </c>
      <c r="J74" s="382">
        <f>I74/'[3]통장내역(환율표)'!$D$145</f>
        <v>67.319590717069175</v>
      </c>
      <c r="K74" s="271">
        <f t="shared" si="6"/>
        <v>154852.41000000096</v>
      </c>
      <c r="L74" s="271">
        <f t="shared" si="6"/>
        <v>21625.947089733465</v>
      </c>
      <c r="M74" s="495"/>
      <c r="N74" s="45">
        <f t="shared" si="4"/>
        <v>21625.946293334568</v>
      </c>
    </row>
    <row r="75" spans="1:14" s="5" customFormat="1" ht="13.5" customHeight="1">
      <c r="A75" s="263">
        <v>45283</v>
      </c>
      <c r="B75" s="373" t="s">
        <v>1102</v>
      </c>
      <c r="C75" s="373"/>
      <c r="D75" s="37">
        <v>30</v>
      </c>
      <c r="E75" s="37" t="s">
        <v>146</v>
      </c>
      <c r="F75" s="355" t="s">
        <v>147</v>
      </c>
      <c r="G75" s="375"/>
      <c r="H75" s="33"/>
      <c r="I75" s="278">
        <v>98.8</v>
      </c>
      <c r="J75" s="382">
        <f>I75/'[3]통장내역(환율표)'!$D$145</f>
        <v>13.796257130982024</v>
      </c>
      <c r="K75" s="271">
        <f t="shared" si="6"/>
        <v>154753.61000000098</v>
      </c>
      <c r="L75" s="271">
        <f t="shared" si="6"/>
        <v>21612.150832602481</v>
      </c>
      <c r="M75" s="495"/>
      <c r="N75" s="45">
        <f t="shared" si="4"/>
        <v>21612.150036203584</v>
      </c>
    </row>
    <row r="76" spans="1:14" s="5" customFormat="1" ht="13.5" customHeight="1">
      <c r="A76" s="263">
        <v>45283</v>
      </c>
      <c r="B76" s="321" t="s">
        <v>250</v>
      </c>
      <c r="C76" s="373"/>
      <c r="D76" s="37">
        <v>31</v>
      </c>
      <c r="E76" s="37" t="s">
        <v>107</v>
      </c>
      <c r="F76" s="355"/>
      <c r="G76" s="375"/>
      <c r="H76" s="33"/>
      <c r="I76" s="278">
        <v>3.6</v>
      </c>
      <c r="J76" s="382">
        <f>I76/'[3]통장내역(환율표)'!$D$145</f>
        <v>0.50269762825440578</v>
      </c>
      <c r="K76" s="271">
        <f t="shared" si="6"/>
        <v>154750.01000000097</v>
      </c>
      <c r="L76" s="271">
        <f t="shared" si="6"/>
        <v>21611.648134974228</v>
      </c>
      <c r="M76" s="495"/>
      <c r="N76" s="45">
        <f t="shared" si="4"/>
        <v>21611.647338575331</v>
      </c>
    </row>
    <row r="77" spans="1:14" s="5" customFormat="1" ht="13.5" customHeight="1">
      <c r="A77" s="263">
        <v>45283</v>
      </c>
      <c r="B77" s="373" t="s">
        <v>1103</v>
      </c>
      <c r="C77" s="373"/>
      <c r="D77" s="37">
        <v>32</v>
      </c>
      <c r="E77" s="37" t="s">
        <v>146</v>
      </c>
      <c r="F77" s="355" t="s">
        <v>147</v>
      </c>
      <c r="G77" s="375"/>
      <c r="H77" s="33"/>
      <c r="I77" s="278">
        <v>7255.02</v>
      </c>
      <c r="J77" s="382">
        <f>I77/'[3]통장내역(환율표)'!$D$145</f>
        <v>1013.0781519272997</v>
      </c>
      <c r="K77" s="271">
        <f t="shared" si="6"/>
        <v>147494.99000000098</v>
      </c>
      <c r="L77" s="271">
        <f t="shared" si="6"/>
        <v>20598.569983046928</v>
      </c>
      <c r="M77" s="33"/>
      <c r="N77" s="45">
        <f t="shared" si="4"/>
        <v>20598.56918664803</v>
      </c>
    </row>
    <row r="78" spans="1:14" s="5" customFormat="1" ht="13.5" customHeight="1">
      <c r="A78" s="263">
        <v>45283</v>
      </c>
      <c r="B78" s="373" t="s">
        <v>1024</v>
      </c>
      <c r="C78" s="373"/>
      <c r="D78" s="37">
        <v>33</v>
      </c>
      <c r="E78" s="37" t="s">
        <v>125</v>
      </c>
      <c r="F78" s="355" t="s">
        <v>145</v>
      </c>
      <c r="G78" s="375"/>
      <c r="H78" s="33"/>
      <c r="I78" s="278">
        <v>1070.4000000000001</v>
      </c>
      <c r="J78" s="382">
        <f>I78/'[3]통장내역(환율표)'!$D$145</f>
        <v>149.4687614676433</v>
      </c>
      <c r="K78" s="271">
        <f t="shared" si="6"/>
        <v>146424.59000000099</v>
      </c>
      <c r="L78" s="271">
        <f t="shared" si="6"/>
        <v>20449.101221579283</v>
      </c>
      <c r="M78" s="495"/>
      <c r="N78" s="45">
        <f t="shared" si="4"/>
        <v>20449.100425180386</v>
      </c>
    </row>
    <row r="79" spans="1:14" s="5" customFormat="1" ht="13.5" customHeight="1">
      <c r="A79" s="263">
        <v>45283</v>
      </c>
      <c r="B79" s="373" t="s">
        <v>1104</v>
      </c>
      <c r="C79" s="373"/>
      <c r="D79" s="37">
        <v>34</v>
      </c>
      <c r="E79" s="37" t="s">
        <v>146</v>
      </c>
      <c r="F79" s="355" t="s">
        <v>147</v>
      </c>
      <c r="G79" s="375"/>
      <c r="H79" s="33"/>
      <c r="I79" s="278">
        <v>1152.82</v>
      </c>
      <c r="J79" s="382">
        <f>I79/'[3]통장내역(환율표)'!$D$145</f>
        <v>160.97774439006778</v>
      </c>
      <c r="K79" s="271">
        <f t="shared" si="6"/>
        <v>145271.77000000098</v>
      </c>
      <c r="L79" s="271">
        <f t="shared" si="6"/>
        <v>20288.123477189216</v>
      </c>
      <c r="M79" s="495"/>
      <c r="N79" s="45">
        <f t="shared" si="4"/>
        <v>20288.122680790319</v>
      </c>
    </row>
    <row r="80" spans="1:14" s="5" customFormat="1" ht="13.5" customHeight="1">
      <c r="A80" s="263">
        <v>45283</v>
      </c>
      <c r="B80" s="321" t="s">
        <v>250</v>
      </c>
      <c r="C80" s="373"/>
      <c r="D80" s="37">
        <v>35</v>
      </c>
      <c r="E80" s="37" t="s">
        <v>107</v>
      </c>
      <c r="F80" s="355"/>
      <c r="G80" s="375"/>
      <c r="H80" s="33"/>
      <c r="I80" s="278">
        <v>3.6</v>
      </c>
      <c r="J80" s="382">
        <f>I80/'[3]통장내역(환율표)'!$D$145</f>
        <v>0.50269762825440578</v>
      </c>
      <c r="K80" s="271">
        <f t="shared" si="6"/>
        <v>145268.17000000097</v>
      </c>
      <c r="L80" s="271">
        <f t="shared" si="6"/>
        <v>20287.620779560963</v>
      </c>
      <c r="M80" s="495"/>
      <c r="N80" s="45">
        <f t="shared" si="4"/>
        <v>20287.619983162065</v>
      </c>
    </row>
    <row r="81" spans="1:14" s="5" customFormat="1" ht="13.5" customHeight="1">
      <c r="A81" s="263">
        <v>45283</v>
      </c>
      <c r="B81" s="373" t="s">
        <v>1105</v>
      </c>
      <c r="C81" s="373"/>
      <c r="D81" s="37">
        <v>36</v>
      </c>
      <c r="E81" s="37" t="s">
        <v>146</v>
      </c>
      <c r="F81" s="355" t="s">
        <v>147</v>
      </c>
      <c r="G81" s="375"/>
      <c r="H81" s="33"/>
      <c r="I81" s="278">
        <v>15817.46</v>
      </c>
      <c r="J81" s="382">
        <f>I81/'[3]통장내역(환율표)'!$D$145</f>
        <v>2208.7221186135921</v>
      </c>
      <c r="K81" s="271">
        <f t="shared" si="6"/>
        <v>129450.71000000098</v>
      </c>
      <c r="L81" s="271">
        <f t="shared" si="6"/>
        <v>18078.898660947372</v>
      </c>
      <c r="M81" s="495"/>
      <c r="N81" s="45">
        <f t="shared" si="4"/>
        <v>18078.897864548475</v>
      </c>
    </row>
    <row r="82" spans="1:14" s="5" customFormat="1" ht="13.5" customHeight="1">
      <c r="A82" s="263">
        <v>45283</v>
      </c>
      <c r="B82" s="373" t="s">
        <v>807</v>
      </c>
      <c r="C82" s="373"/>
      <c r="D82" s="37">
        <v>37</v>
      </c>
      <c r="E82" s="37" t="s">
        <v>125</v>
      </c>
      <c r="F82" s="355" t="s">
        <v>145</v>
      </c>
      <c r="G82" s="375"/>
      <c r="H82" s="33"/>
      <c r="I82" s="628">
        <v>1742</v>
      </c>
      <c r="J82" s="382">
        <f>I82/'[3]통장내역(환율표)'!$D$145</f>
        <v>243.2497967831041</v>
      </c>
      <c r="K82" s="271">
        <f t="shared" si="6"/>
        <v>127708.71000000098</v>
      </c>
      <c r="L82" s="271">
        <f t="shared" si="6"/>
        <v>17835.648864164268</v>
      </c>
      <c r="M82" s="495"/>
      <c r="N82" s="45">
        <f t="shared" si="4"/>
        <v>17835.648067765371</v>
      </c>
    </row>
    <row r="83" spans="1:14" s="5" customFormat="1" ht="13.5" customHeight="1">
      <c r="A83" s="263">
        <v>45283</v>
      </c>
      <c r="B83" s="373" t="s">
        <v>1106</v>
      </c>
      <c r="C83" s="373"/>
      <c r="D83" s="37">
        <v>38</v>
      </c>
      <c r="E83" s="37" t="s">
        <v>116</v>
      </c>
      <c r="F83" s="355" t="s">
        <v>140</v>
      </c>
      <c r="G83" s="375"/>
      <c r="H83" s="33"/>
      <c r="I83" s="628">
        <v>198</v>
      </c>
      <c r="J83" s="382">
        <f>I83/'[3]통장내역(환율표)'!$D$145</f>
        <v>27.648369553992314</v>
      </c>
      <c r="K83" s="271">
        <f t="shared" si="6"/>
        <v>127510.71000000098</v>
      </c>
      <c r="L83" s="271">
        <f t="shared" si="6"/>
        <v>17808.000494610274</v>
      </c>
      <c r="M83" s="495"/>
      <c r="N83" s="45">
        <f t="shared" si="4"/>
        <v>17807.999698211377</v>
      </c>
    </row>
    <row r="84" spans="1:14" s="5" customFormat="1" ht="13.5" customHeight="1">
      <c r="A84" s="263">
        <v>45283</v>
      </c>
      <c r="B84" s="321" t="s">
        <v>250</v>
      </c>
      <c r="C84" s="373"/>
      <c r="D84" s="37">
        <v>39</v>
      </c>
      <c r="E84" s="37" t="s">
        <v>107</v>
      </c>
      <c r="F84" s="355"/>
      <c r="G84" s="375"/>
      <c r="H84" s="33"/>
      <c r="I84" s="628">
        <v>7.2</v>
      </c>
      <c r="J84" s="382">
        <f>I84/'[3]통장내역(환율표)'!$D$145</f>
        <v>1.0053952565088116</v>
      </c>
      <c r="K84" s="271">
        <f t="shared" ref="K84:L99" si="7">K83+G84-I84</f>
        <v>127503.51000000098</v>
      </c>
      <c r="L84" s="271">
        <f t="shared" si="7"/>
        <v>17806.995099353764</v>
      </c>
      <c r="M84" s="495"/>
      <c r="N84" s="45">
        <f t="shared" si="4"/>
        <v>17806.994302954867</v>
      </c>
    </row>
    <row r="85" spans="1:14" s="5" customFormat="1" ht="13.5" customHeight="1">
      <c r="A85" s="263">
        <v>45283</v>
      </c>
      <c r="B85" s="373" t="s">
        <v>1107</v>
      </c>
      <c r="C85" s="373"/>
      <c r="D85" s="37">
        <v>40</v>
      </c>
      <c r="E85" s="37" t="s">
        <v>146</v>
      </c>
      <c r="F85" s="355" t="s">
        <v>147</v>
      </c>
      <c r="G85" s="375"/>
      <c r="H85" s="33"/>
      <c r="I85" s="628">
        <v>17391.150000000001</v>
      </c>
      <c r="J85" s="382">
        <f>I85/'[3]통장내역(환율표)'!$D$145</f>
        <v>2428.4694048935025</v>
      </c>
      <c r="K85" s="271">
        <f t="shared" si="7"/>
        <v>110112.36000000098</v>
      </c>
      <c r="L85" s="271">
        <f t="shared" si="7"/>
        <v>15378.525694460262</v>
      </c>
      <c r="M85" s="33"/>
      <c r="N85" s="45">
        <f t="shared" si="4"/>
        <v>15378.524898061365</v>
      </c>
    </row>
    <row r="86" spans="1:14" s="5" customFormat="1" ht="13.5" customHeight="1">
      <c r="A86" s="263">
        <v>45283</v>
      </c>
      <c r="B86" s="373" t="s">
        <v>1108</v>
      </c>
      <c r="C86" s="373"/>
      <c r="D86" s="37">
        <v>41</v>
      </c>
      <c r="E86" s="37" t="s">
        <v>107</v>
      </c>
      <c r="F86" s="355"/>
      <c r="G86" s="375"/>
      <c r="H86" s="33"/>
      <c r="I86" s="629">
        <v>2162.65</v>
      </c>
      <c r="J86" s="382">
        <f>I86/'[3]통장내역(환율표)'!$D$145</f>
        <v>301.9886182623307</v>
      </c>
      <c r="K86" s="271">
        <f t="shared" si="7"/>
        <v>107949.71000000098</v>
      </c>
      <c r="L86" s="271">
        <f t="shared" si="7"/>
        <v>15076.537076197932</v>
      </c>
      <c r="M86" s="495"/>
      <c r="N86" s="45">
        <f t="shared" si="4"/>
        <v>15076.536279799035</v>
      </c>
    </row>
    <row r="87" spans="1:14" s="5" customFormat="1" ht="13.5" customHeight="1">
      <c r="A87" s="263">
        <v>45283</v>
      </c>
      <c r="B87" s="373" t="s">
        <v>1109</v>
      </c>
      <c r="C87" s="373"/>
      <c r="D87" s="37">
        <v>42</v>
      </c>
      <c r="E87" s="37" t="s">
        <v>116</v>
      </c>
      <c r="F87" s="355" t="s">
        <v>140</v>
      </c>
      <c r="G87" s="375"/>
      <c r="H87" s="33"/>
      <c r="I87" s="628">
        <v>394</v>
      </c>
      <c r="J87" s="382">
        <f>I87/'[3]통장내역(환율표)'!$D$145</f>
        <v>55.017462647843296</v>
      </c>
      <c r="K87" s="271">
        <f t="shared" si="7"/>
        <v>107555.71000000098</v>
      </c>
      <c r="L87" s="271">
        <f t="shared" si="7"/>
        <v>15021.519613550088</v>
      </c>
      <c r="M87" s="495"/>
      <c r="N87" s="45">
        <f t="shared" si="4"/>
        <v>15021.518817151191</v>
      </c>
    </row>
    <row r="88" spans="1:14" s="5" customFormat="1" ht="13.5" customHeight="1">
      <c r="A88" s="263">
        <v>45283</v>
      </c>
      <c r="B88" s="373" t="s">
        <v>854</v>
      </c>
      <c r="C88" s="373"/>
      <c r="D88" s="37">
        <v>43</v>
      </c>
      <c r="E88" s="37" t="s">
        <v>116</v>
      </c>
      <c r="F88" s="355" t="s">
        <v>140</v>
      </c>
      <c r="G88" s="375"/>
      <c r="H88" s="33"/>
      <c r="I88" s="628">
        <v>499</v>
      </c>
      <c r="J88" s="382">
        <f>I88/'[3]통장내역(환율표)'!$D$145</f>
        <v>69.679476805263462</v>
      </c>
      <c r="K88" s="271">
        <f t="shared" si="7"/>
        <v>107056.71000000098</v>
      </c>
      <c r="L88" s="271">
        <f t="shared" si="7"/>
        <v>14951.840136744824</v>
      </c>
      <c r="M88" s="495"/>
      <c r="N88" s="45">
        <f t="shared" si="4"/>
        <v>14951.839340345927</v>
      </c>
    </row>
    <row r="89" spans="1:14" s="5" customFormat="1" ht="13.5" customHeight="1">
      <c r="A89" s="263">
        <v>45283</v>
      </c>
      <c r="B89" s="373" t="s">
        <v>845</v>
      </c>
      <c r="C89" s="373"/>
      <c r="D89" s="37">
        <v>44</v>
      </c>
      <c r="E89" s="37" t="s">
        <v>125</v>
      </c>
      <c r="F89" s="355" t="s">
        <v>145</v>
      </c>
      <c r="G89" s="375"/>
      <c r="H89" s="33"/>
      <c r="I89" s="628">
        <v>2490</v>
      </c>
      <c r="J89" s="382">
        <f>I89/'[3]통장내역(환율표)'!$D$145</f>
        <v>347.69919287596394</v>
      </c>
      <c r="K89" s="271">
        <f t="shared" si="7"/>
        <v>104566.71000000098</v>
      </c>
      <c r="L89" s="271">
        <f t="shared" si="7"/>
        <v>14604.140943868861</v>
      </c>
      <c r="M89" s="495"/>
      <c r="N89" s="45">
        <f t="shared" si="4"/>
        <v>14604.140147469963</v>
      </c>
    </row>
    <row r="90" spans="1:14" s="5" customFormat="1" ht="13.5" customHeight="1">
      <c r="A90" s="263">
        <v>45283</v>
      </c>
      <c r="B90" s="373" t="s">
        <v>844</v>
      </c>
      <c r="C90" s="373"/>
      <c r="D90" s="37">
        <v>45</v>
      </c>
      <c r="E90" s="37" t="s">
        <v>146</v>
      </c>
      <c r="F90" s="355" t="s">
        <v>147</v>
      </c>
      <c r="G90" s="375"/>
      <c r="H90" s="33"/>
      <c r="I90" s="628">
        <v>867.06</v>
      </c>
      <c r="J90" s="382">
        <f>I90/'[3]통장내역(환율표)'!$D$145</f>
        <v>121.07472376507361</v>
      </c>
      <c r="K90" s="271">
        <f t="shared" si="7"/>
        <v>103699.65000000098</v>
      </c>
      <c r="L90" s="271">
        <f t="shared" si="7"/>
        <v>14483.066220103787</v>
      </c>
      <c r="M90" s="33"/>
      <c r="N90" s="45">
        <f t="shared" si="4"/>
        <v>14483.065423704889</v>
      </c>
    </row>
    <row r="91" spans="1:14" s="5" customFormat="1" ht="13.5" customHeight="1">
      <c r="A91" s="263">
        <v>45283</v>
      </c>
      <c r="B91" s="321" t="s">
        <v>250</v>
      </c>
      <c r="C91" s="373"/>
      <c r="D91" s="37">
        <v>46</v>
      </c>
      <c r="E91" s="37" t="s">
        <v>107</v>
      </c>
      <c r="F91" s="355"/>
      <c r="G91" s="375"/>
      <c r="H91" s="33"/>
      <c r="I91" s="628">
        <v>7.2</v>
      </c>
      <c r="J91" s="382">
        <f>I91/'[3]통장내역(환율표)'!$D$145</f>
        <v>1.0053952565088116</v>
      </c>
      <c r="K91" s="271">
        <f t="shared" si="7"/>
        <v>103692.45000000099</v>
      </c>
      <c r="L91" s="271">
        <f t="shared" si="7"/>
        <v>14482.060824847278</v>
      </c>
      <c r="M91" s="33"/>
      <c r="N91" s="45">
        <f t="shared" si="4"/>
        <v>14482.060028448381</v>
      </c>
    </row>
    <row r="92" spans="1:14" s="5" customFormat="1" ht="13.5" customHeight="1">
      <c r="A92" s="630">
        <v>45286</v>
      </c>
      <c r="B92" s="631" t="s">
        <v>1110</v>
      </c>
      <c r="C92" s="631"/>
      <c r="D92" s="632">
        <v>46</v>
      </c>
      <c r="E92" s="632" t="s">
        <v>107</v>
      </c>
      <c r="F92" s="633"/>
      <c r="G92" s="634"/>
      <c r="H92" s="635"/>
      <c r="I92" s="616">
        <v>50000</v>
      </c>
      <c r="J92" s="636">
        <f>I92/'[3]통장내역(환율표)'!$D$145</f>
        <v>6981.9115035334125</v>
      </c>
      <c r="K92" s="616">
        <f t="shared" si="7"/>
        <v>53692.450000000987</v>
      </c>
      <c r="L92" s="616">
        <f t="shared" si="7"/>
        <v>7500.1493213138656</v>
      </c>
      <c r="M92" s="635"/>
      <c r="N92" s="45">
        <f t="shared" si="4"/>
        <v>7500.1485249149682</v>
      </c>
    </row>
    <row r="93" spans="1:14" s="5" customFormat="1" ht="13.5" customHeight="1">
      <c r="A93" s="630">
        <v>45286</v>
      </c>
      <c r="B93" s="637" t="s">
        <v>250</v>
      </c>
      <c r="C93" s="631"/>
      <c r="D93" s="632">
        <v>46</v>
      </c>
      <c r="E93" s="632" t="s">
        <v>107</v>
      </c>
      <c r="F93" s="633"/>
      <c r="G93" s="634"/>
      <c r="H93" s="635"/>
      <c r="I93" s="616">
        <v>7.2</v>
      </c>
      <c r="J93" s="382">
        <f>I93/'[3]통장내역(환율표)'!$D$145</f>
        <v>1.0053952565088116</v>
      </c>
      <c r="K93" s="616">
        <f t="shared" si="7"/>
        <v>53685.25000000099</v>
      </c>
      <c r="L93" s="616">
        <f t="shared" si="7"/>
        <v>7499.143926057357</v>
      </c>
      <c r="M93" s="635"/>
      <c r="N93" s="45">
        <f t="shared" si="4"/>
        <v>7499.1431296584597</v>
      </c>
    </row>
    <row r="94" spans="1:14" s="5" customFormat="1" ht="13.5" customHeight="1">
      <c r="A94" s="630">
        <v>45286</v>
      </c>
      <c r="B94" s="631" t="s">
        <v>1111</v>
      </c>
      <c r="C94" s="631"/>
      <c r="D94" s="632">
        <v>46</v>
      </c>
      <c r="E94" s="632" t="s">
        <v>107</v>
      </c>
      <c r="F94" s="633"/>
      <c r="G94" s="634">
        <v>50000</v>
      </c>
      <c r="H94" s="636">
        <f>G94/'[3]통장내역(환율표)'!$D$145</f>
        <v>6981.9115035334125</v>
      </c>
      <c r="I94" s="616"/>
      <c r="J94" s="636">
        <f>I94/'[3]통장내역(환율표)'!$D$145</f>
        <v>0</v>
      </c>
      <c r="K94" s="616">
        <f t="shared" si="7"/>
        <v>103685.25000000099</v>
      </c>
      <c r="L94" s="616">
        <f t="shared" si="7"/>
        <v>14481.05542959077</v>
      </c>
      <c r="M94" s="635"/>
      <c r="N94" s="45">
        <f t="shared" si="4"/>
        <v>14481.054633191872</v>
      </c>
    </row>
    <row r="95" spans="1:14" s="5" customFormat="1" ht="13.5" customHeight="1">
      <c r="A95" s="263">
        <v>45287</v>
      </c>
      <c r="B95" s="373" t="s">
        <v>1110</v>
      </c>
      <c r="C95" s="373"/>
      <c r="D95" s="37">
        <v>47</v>
      </c>
      <c r="E95" s="37" t="s">
        <v>107</v>
      </c>
      <c r="F95" s="355"/>
      <c r="G95" s="375"/>
      <c r="H95" s="33"/>
      <c r="I95" s="278">
        <v>2490</v>
      </c>
      <c r="J95" s="382">
        <f>I95/'[3]통장내역(환율표)'!$D$145</f>
        <v>347.69919287596394</v>
      </c>
      <c r="K95" s="271">
        <f t="shared" si="7"/>
        <v>101195.25000000099</v>
      </c>
      <c r="L95" s="271">
        <f t="shared" si="7"/>
        <v>14133.356236714806</v>
      </c>
      <c r="M95" s="33"/>
      <c r="N95" s="45">
        <f t="shared" si="4"/>
        <v>14133.355440315909</v>
      </c>
    </row>
    <row r="96" spans="1:14" s="5" customFormat="1" ht="13.5" customHeight="1">
      <c r="A96" s="263">
        <v>45287</v>
      </c>
      <c r="B96" s="321" t="s">
        <v>250</v>
      </c>
      <c r="C96" s="373"/>
      <c r="D96" s="37">
        <v>48</v>
      </c>
      <c r="E96" s="37" t="s">
        <v>107</v>
      </c>
      <c r="F96" s="355"/>
      <c r="G96" s="375"/>
      <c r="H96" s="33"/>
      <c r="I96" s="278">
        <v>3.6</v>
      </c>
      <c r="J96" s="382">
        <f>I96/'[3]통장내역(환율표)'!$D$145</f>
        <v>0.50269762825440578</v>
      </c>
      <c r="K96" s="271">
        <f t="shared" si="7"/>
        <v>101191.65000000098</v>
      </c>
      <c r="L96" s="271">
        <f t="shared" si="7"/>
        <v>14132.853539086551</v>
      </c>
      <c r="M96" s="33"/>
      <c r="N96" s="45">
        <f t="shared" si="4"/>
        <v>14132.852742687654</v>
      </c>
    </row>
    <row r="97" spans="1:15" s="5" customFormat="1" ht="13.5" customHeight="1">
      <c r="A97" s="263">
        <v>45287</v>
      </c>
      <c r="B97" s="321" t="s">
        <v>1112</v>
      </c>
      <c r="C97" s="373"/>
      <c r="D97" s="37">
        <v>49</v>
      </c>
      <c r="E97" s="37" t="s">
        <v>107</v>
      </c>
      <c r="F97" s="355"/>
      <c r="G97" s="375"/>
      <c r="H97" s="33"/>
      <c r="I97" s="278">
        <v>1112</v>
      </c>
      <c r="J97" s="382">
        <f>I97/'[3]통장내역(환율표)'!$D$145</f>
        <v>155.27771183858309</v>
      </c>
      <c r="K97" s="271">
        <f t="shared" si="7"/>
        <v>100079.65000000098</v>
      </c>
      <c r="L97" s="271">
        <f t="shared" si="7"/>
        <v>13977.575827247967</v>
      </c>
      <c r="M97" s="33"/>
      <c r="N97" s="45">
        <f t="shared" si="4"/>
        <v>13977.57503084907</v>
      </c>
    </row>
    <row r="98" spans="1:15" s="5" customFormat="1" ht="13.5" customHeight="1">
      <c r="A98" s="263">
        <v>45287</v>
      </c>
      <c r="B98" s="321" t="s">
        <v>250</v>
      </c>
      <c r="C98" s="373"/>
      <c r="D98" s="37">
        <v>50</v>
      </c>
      <c r="E98" s="37" t="s">
        <v>107</v>
      </c>
      <c r="F98" s="355"/>
      <c r="G98" s="375"/>
      <c r="H98" s="33"/>
      <c r="I98" s="278">
        <v>3.6</v>
      </c>
      <c r="J98" s="382">
        <f>I98/'[3]통장내역(환율표)'!$D$145</f>
        <v>0.50269762825440578</v>
      </c>
      <c r="K98" s="271">
        <f t="shared" si="7"/>
        <v>100076.05000000098</v>
      </c>
      <c r="L98" s="271">
        <f t="shared" si="7"/>
        <v>13977.073129619712</v>
      </c>
      <c r="M98" s="33"/>
      <c r="N98" s="45">
        <f t="shared" si="4"/>
        <v>13977.072333220814</v>
      </c>
    </row>
    <row r="99" spans="1:15" s="5" customFormat="1" ht="13.5" customHeight="1">
      <c r="A99" s="630">
        <v>45288</v>
      </c>
      <c r="B99" s="637" t="s">
        <v>1110</v>
      </c>
      <c r="C99" s="631"/>
      <c r="D99" s="632">
        <v>50</v>
      </c>
      <c r="E99" s="632" t="s">
        <v>107</v>
      </c>
      <c r="F99" s="633"/>
      <c r="G99" s="634"/>
      <c r="H99" s="635"/>
      <c r="I99" s="638">
        <v>30116.66</v>
      </c>
      <c r="J99" s="382">
        <f>I99/'[3]통장내역(환율표)'!$D$145</f>
        <v>4205.4370980400918</v>
      </c>
      <c r="K99" s="616">
        <f t="shared" si="7"/>
        <v>69959.390000000974</v>
      </c>
      <c r="L99" s="616">
        <f t="shared" si="7"/>
        <v>9771.6360315796192</v>
      </c>
      <c r="M99" s="635"/>
      <c r="N99" s="45">
        <f t="shared" si="4"/>
        <v>9771.6352351807218</v>
      </c>
      <c r="O99"/>
    </row>
    <row r="100" spans="1:15" s="5" customFormat="1" ht="13.5" customHeight="1">
      <c r="A100" s="630">
        <v>45288</v>
      </c>
      <c r="B100" s="637" t="s">
        <v>250</v>
      </c>
      <c r="C100" s="631"/>
      <c r="D100" s="632">
        <v>50</v>
      </c>
      <c r="E100" s="632" t="s">
        <v>107</v>
      </c>
      <c r="F100" s="633"/>
      <c r="G100" s="634"/>
      <c r="H100" s="635"/>
      <c r="I100" s="638">
        <v>7.2</v>
      </c>
      <c r="J100" s="382">
        <f>I100/'[3]통장내역(환율표)'!$D$145</f>
        <v>1.0053952565088116</v>
      </c>
      <c r="K100" s="616">
        <f>K99+G100-I100</f>
        <v>69952.190000000977</v>
      </c>
      <c r="L100" s="616">
        <f>L99+H100-J100</f>
        <v>9770.6306363231106</v>
      </c>
      <c r="M100" s="635"/>
      <c r="N100" s="45">
        <f t="shared" si="4"/>
        <v>9770.6298399242132</v>
      </c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5" s="5" customFormat="1" ht="12.7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5" s="5" customFormat="1" ht="12.7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5" s="5" customFormat="1" ht="12.7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20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20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20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20">
      <c r="O132" s="5"/>
      <c r="P132" s="5"/>
      <c r="Q132" s="5"/>
      <c r="R132" s="5"/>
      <c r="S132" s="5"/>
      <c r="T132" s="5"/>
    </row>
    <row r="133" spans="1:20">
      <c r="O133" s="5"/>
      <c r="P133" s="5"/>
      <c r="Q133" s="5"/>
      <c r="R133" s="5"/>
      <c r="S133" s="5"/>
      <c r="T133" s="5"/>
    </row>
    <row r="136" spans="1:20">
      <c r="B136" s="322"/>
      <c r="C136" s="322"/>
      <c r="D136" s="322"/>
      <c r="E136" s="322"/>
    </row>
    <row r="137" spans="1:20">
      <c r="B137" s="322"/>
    </row>
  </sheetData>
  <autoFilter ref="A18:N135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3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ED0E-F839-45CE-B839-3CFDC48E0F33}">
  <sheetPr filterMode="1">
    <tabColor theme="4" tint="-0.499984740745262"/>
  </sheetPr>
  <dimension ref="A1:X111"/>
  <sheetViews>
    <sheetView showGridLines="0" zoomScaleNormal="100" workbookViewId="0">
      <pane ySplit="18" topLeftCell="A19" activePane="bottomLeft" state="frozen"/>
      <selection activeCell="C114" sqref="C114"/>
      <selection pane="bottomLeft" activeCell="D49" sqref="D49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5" style="559" customWidth="1"/>
    <col min="5" max="5" width="9.37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4" width="12.375" style="531" customWidth="1"/>
    <col min="15" max="15" width="9.875" style="531" customWidth="1"/>
    <col min="16" max="16" width="9.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1081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1092</v>
      </c>
      <c r="C3" s="547"/>
      <c r="D3" s="548"/>
      <c r="E3" s="547"/>
      <c r="F3" s="549"/>
      <c r="G3" s="550"/>
      <c r="H3" s="546" t="s">
        <v>1132</v>
      </c>
      <c r="I3" s="547"/>
      <c r="J3" s="548"/>
      <c r="K3" s="548"/>
      <c r="L3" s="549"/>
      <c r="M3" s="551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42" t="s">
        <v>1083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ROUND(E5*1307.9,0)</f>
        <v>0</v>
      </c>
      <c r="G5" s="568"/>
      <c r="H5" s="569" t="s">
        <v>11</v>
      </c>
      <c r="I5" s="569" t="s">
        <v>12</v>
      </c>
      <c r="J5" s="725">
        <v>17063.77</v>
      </c>
      <c r="K5" s="725">
        <v>2388.1161612479691</v>
      </c>
      <c r="L5" s="567">
        <f t="shared" ref="L5:L10" si="0">ROUND(K5*1312.1,0)</f>
        <v>3133447</v>
      </c>
      <c r="M5" s="716">
        <f t="shared" ref="M5:M13" si="1">L5+F5</f>
        <v>3133447</v>
      </c>
      <c r="N5" s="542" t="s">
        <v>1084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ROUND(E6*1307.9,0)</f>
        <v>0</v>
      </c>
      <c r="G6" s="572"/>
      <c r="H6" s="569" t="s">
        <v>13</v>
      </c>
      <c r="I6" s="569" t="s">
        <v>14</v>
      </c>
      <c r="J6" s="570">
        <v>35512.449999999997</v>
      </c>
      <c r="K6" s="570">
        <v>4970.05</v>
      </c>
      <c r="L6" s="567">
        <f t="shared" si="0"/>
        <v>6521203</v>
      </c>
      <c r="M6" s="716">
        <f t="shared" si="1"/>
        <v>6521203</v>
      </c>
      <c r="N6" s="542" t="s">
        <v>1085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2"/>
        <v>0</v>
      </c>
      <c r="G7" s="573"/>
      <c r="H7" s="569" t="s">
        <v>15</v>
      </c>
      <c r="I7" s="569" t="s">
        <v>1064</v>
      </c>
      <c r="J7" s="726">
        <v>20023</v>
      </c>
      <c r="K7" s="726">
        <v>2802.27</v>
      </c>
      <c r="L7" s="723">
        <f t="shared" si="0"/>
        <v>3676858</v>
      </c>
      <c r="M7" s="716">
        <f t="shared" si="1"/>
        <v>3676858</v>
      </c>
      <c r="N7" s="542" t="s">
        <v>1086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>
        <v>14122.31</v>
      </c>
      <c r="E8" s="570">
        <v>1972.01</v>
      </c>
      <c r="F8" s="567">
        <f t="shared" si="2"/>
        <v>2579192</v>
      </c>
      <c r="G8" s="573"/>
      <c r="H8" s="569" t="s">
        <v>15</v>
      </c>
      <c r="I8" s="564" t="s">
        <v>17</v>
      </c>
      <c r="J8" s="722">
        <v>3377.69</v>
      </c>
      <c r="K8" s="722">
        <v>472.72</v>
      </c>
      <c r="L8" s="723">
        <f t="shared" si="0"/>
        <v>620256</v>
      </c>
      <c r="M8" s="716">
        <f t="shared" si="1"/>
        <v>3199448</v>
      </c>
      <c r="N8" s="542" t="s">
        <v>1087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570">
        <v>797.5</v>
      </c>
      <c r="K9" s="570">
        <v>111.61</v>
      </c>
      <c r="L9" s="567">
        <f t="shared" si="0"/>
        <v>146443</v>
      </c>
      <c r="M9" s="716">
        <f t="shared" si="1"/>
        <v>146443</v>
      </c>
      <c r="N9" s="542" t="s">
        <v>1088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55848.71</v>
      </c>
      <c r="E10" s="570">
        <v>7798.62</v>
      </c>
      <c r="F10" s="567">
        <f t="shared" si="2"/>
        <v>10199815</v>
      </c>
      <c r="G10" s="575"/>
      <c r="H10" s="569" t="s">
        <v>21</v>
      </c>
      <c r="I10" s="569"/>
      <c r="J10" s="570">
        <v>262513.69000000006</v>
      </c>
      <c r="K10" s="570">
        <v>36765.430128151012</v>
      </c>
      <c r="L10" s="567">
        <f t="shared" si="0"/>
        <v>48239921</v>
      </c>
      <c r="M10" s="716">
        <f t="shared" si="1"/>
        <v>58439736</v>
      </c>
      <c r="N10" s="542" t="s">
        <v>1089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1311.3835792187585</v>
      </c>
      <c r="H11" s="576" t="s">
        <v>1066</v>
      </c>
      <c r="I11" s="577" t="s">
        <v>1067</v>
      </c>
      <c r="J11" s="581"/>
      <c r="K11" s="581"/>
      <c r="L11" s="579">
        <f>ROUND(K11*1307.9,0)</f>
        <v>0</v>
      </c>
      <c r="M11" s="716">
        <f t="shared" si="1"/>
        <v>0</v>
      </c>
      <c r="N11" s="542" t="s">
        <v>1090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2"/>
        <v>0</v>
      </c>
      <c r="G12" s="582">
        <f>E13+K13+Q13</f>
        <v>57280.826289398981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716">
        <f t="shared" si="1"/>
        <v>0</v>
      </c>
      <c r="N12" s="542" t="s">
        <v>1091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69971.02</v>
      </c>
      <c r="E13" s="586">
        <f>SUM(E5:E11)-E12</f>
        <v>9770.6299999999992</v>
      </c>
      <c r="F13" s="587">
        <f>SUM(F5:F11)-F12</f>
        <v>12779007</v>
      </c>
      <c r="G13" s="588">
        <f>F13+L13+R13</f>
        <v>75117135</v>
      </c>
      <c r="H13" s="583" t="s">
        <v>22</v>
      </c>
      <c r="I13" s="584"/>
      <c r="J13" s="585">
        <f>SUM(J5:J11)-J12</f>
        <v>339288.10000000009</v>
      </c>
      <c r="K13" s="586">
        <f>SUM(K5:K11)-K12</f>
        <v>47510.196289398984</v>
      </c>
      <c r="L13" s="587">
        <f>SUM(L5:L11)-L12</f>
        <v>62338128</v>
      </c>
      <c r="M13" s="716">
        <f t="shared" si="1"/>
        <v>75117135</v>
      </c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409259.12000000011</v>
      </c>
      <c r="K14" s="720">
        <f>K13+E13</f>
        <v>57280.826289398981</v>
      </c>
      <c r="L14" s="721">
        <f>L13+F13</f>
        <v>75117135</v>
      </c>
      <c r="M14" s="595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SUBTOTAL(9,K18:K125)</f>
        <v>318362.39999999997</v>
      </c>
      <c r="L15" s="137"/>
      <c r="M15" s="724">
        <f>SUBTOTAL(9,M18:M125)</f>
        <v>44564.045144281044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6"/>
      <c r="R16" s="603" t="s">
        <v>1071</v>
      </c>
    </row>
    <row r="17" spans="1:19" ht="11.25" customHeight="1" thickBo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7" t="s">
        <v>32</v>
      </c>
      <c r="Q17" s="1528"/>
      <c r="R17" s="609" t="s">
        <v>1071</v>
      </c>
    </row>
    <row r="18" spans="1:19" ht="11.25" hidden="1" customHeight="1">
      <c r="B18" s="646">
        <v>45291</v>
      </c>
      <c r="C18" s="647"/>
      <c r="D18" s="648"/>
      <c r="E18" s="649"/>
      <c r="F18" s="650"/>
      <c r="G18" s="651"/>
      <c r="H18" s="690"/>
      <c r="I18" s="650"/>
      <c r="J18" s="651"/>
      <c r="K18" s="714"/>
      <c r="L18" s="677"/>
      <c r="M18" s="714"/>
      <c r="N18" s="683">
        <v>69952.19</v>
      </c>
      <c r="O18" s="684">
        <v>9770.6299999999992</v>
      </c>
      <c r="P18" s="679"/>
      <c r="Q18" s="649"/>
      <c r="R18" s="652"/>
      <c r="S18" s="717">
        <v>9770.6299999999992</v>
      </c>
    </row>
    <row r="19" spans="1:19" ht="11.25" hidden="1" customHeight="1">
      <c r="B19" s="692">
        <v>45302</v>
      </c>
      <c r="C19" s="727" t="s">
        <v>823</v>
      </c>
      <c r="D19" s="693"/>
      <c r="E19" s="693">
        <v>1</v>
      </c>
      <c r="F19" s="693"/>
      <c r="G19" s="693"/>
      <c r="H19" s="694">
        <v>385173.72</v>
      </c>
      <c r="I19" s="695"/>
      <c r="J19" s="694">
        <v>53932</v>
      </c>
      <c r="K19" s="696"/>
      <c r="L19" s="697"/>
      <c r="M19" s="691"/>
      <c r="N19" s="699">
        <f t="shared" ref="N19:N50" si="3">N18+H19-K19</f>
        <v>455125.91</v>
      </c>
      <c r="O19" s="700">
        <f t="shared" ref="O19:O50" si="4">O18+J19-M19</f>
        <v>63702.63</v>
      </c>
      <c r="P19" s="701"/>
      <c r="Q19" s="702"/>
      <c r="R19" s="702"/>
      <c r="S19" s="595">
        <f>S18-M19</f>
        <v>9770.6299999999992</v>
      </c>
    </row>
    <row r="20" spans="1:19" ht="11.25" customHeight="1">
      <c r="B20" s="692">
        <v>45302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'통장내역(환율표)'!$D$154</f>
        <v>7.1452847549437903</v>
      </c>
      <c r="M20" s="689">
        <v>26</v>
      </c>
      <c r="N20" s="699">
        <f t="shared" si="3"/>
        <v>455125.91</v>
      </c>
      <c r="O20" s="700">
        <f t="shared" si="4"/>
        <v>63676.63</v>
      </c>
      <c r="P20" s="701" t="s">
        <v>1129</v>
      </c>
      <c r="Q20" s="702" t="s">
        <v>1130</v>
      </c>
      <c r="R20" s="702"/>
      <c r="S20" s="595"/>
    </row>
    <row r="21" spans="1:19" ht="11.25" customHeight="1">
      <c r="B21" s="639">
        <v>45303</v>
      </c>
      <c r="C21" s="905" t="s">
        <v>1113</v>
      </c>
      <c r="D21" s="640"/>
      <c r="E21" s="640">
        <v>2</v>
      </c>
      <c r="F21" s="640" t="s">
        <v>107</v>
      </c>
      <c r="G21" s="640"/>
      <c r="H21" s="642"/>
      <c r="I21" s="641"/>
      <c r="J21" s="643"/>
      <c r="K21" s="673">
        <v>49141.51</v>
      </c>
      <c r="L21" s="612">
        <f>'통장내역(환율표)'!$D$145</f>
        <v>7.1613626117569593</v>
      </c>
      <c r="M21" s="703">
        <f>K21/L21</f>
        <v>6862.0334794000455</v>
      </c>
      <c r="N21" s="685">
        <f t="shared" si="3"/>
        <v>405984.39999999997</v>
      </c>
      <c r="O21" s="686">
        <f t="shared" si="4"/>
        <v>56814.596520599953</v>
      </c>
      <c r="P21" s="680" t="s">
        <v>1080</v>
      </c>
      <c r="Q21" s="613" t="s">
        <v>1128</v>
      </c>
      <c r="R21" s="613" t="s">
        <v>1114</v>
      </c>
      <c r="S21" s="595">
        <f>S19-M21</f>
        <v>2908.5965205999537</v>
      </c>
    </row>
    <row r="22" spans="1:19" ht="11.25" customHeight="1">
      <c r="B22" s="639">
        <v>45309</v>
      </c>
      <c r="C22" s="642" t="s">
        <v>1115</v>
      </c>
      <c r="D22" s="640"/>
      <c r="E22" s="640">
        <v>3</v>
      </c>
      <c r="F22" s="640" t="s">
        <v>107</v>
      </c>
      <c r="G22" s="640"/>
      <c r="H22" s="642"/>
      <c r="I22" s="641"/>
      <c r="J22" s="643"/>
      <c r="K22" s="673">
        <v>7.2</v>
      </c>
      <c r="L22" s="612">
        <f>'통장내역(환율표)'!$D$145</f>
        <v>7.1613626117569593</v>
      </c>
      <c r="M22" s="703">
        <f>K22/L22</f>
        <v>1.0053952565088116</v>
      </c>
      <c r="N22" s="685">
        <f t="shared" si="3"/>
        <v>405977.19999999995</v>
      </c>
      <c r="O22" s="686">
        <f t="shared" si="4"/>
        <v>56813.591125343446</v>
      </c>
      <c r="P22" s="680" t="s">
        <v>1080</v>
      </c>
      <c r="Q22" s="613" t="s">
        <v>1128</v>
      </c>
      <c r="R22" s="613" t="s">
        <v>1136</v>
      </c>
      <c r="S22" s="595">
        <f>S21-M22</f>
        <v>2907.5911253434447</v>
      </c>
    </row>
    <row r="23" spans="1:19" ht="11.25" hidden="1" customHeight="1">
      <c r="B23" s="639">
        <v>45312</v>
      </c>
      <c r="C23" s="642" t="s">
        <v>305</v>
      </c>
      <c r="D23" s="640"/>
      <c r="E23" s="640">
        <v>4</v>
      </c>
      <c r="F23" s="640" t="s">
        <v>105</v>
      </c>
      <c r="G23" s="640" t="s">
        <v>227</v>
      </c>
      <c r="H23" s="642"/>
      <c r="I23" s="641"/>
      <c r="J23" s="643"/>
      <c r="K23" s="667">
        <v>10500</v>
      </c>
      <c r="L23" s="612">
        <f>'통장내역(환율표)'!$D$145</f>
        <v>7.1613626117569593</v>
      </c>
      <c r="M23" s="703">
        <f>K23/L23</f>
        <v>1466.2014157420167</v>
      </c>
      <c r="N23" s="685">
        <f t="shared" si="3"/>
        <v>395477.19999999995</v>
      </c>
      <c r="O23" s="686">
        <f t="shared" si="4"/>
        <v>55347.389709601426</v>
      </c>
      <c r="P23" s="680" t="s">
        <v>1080</v>
      </c>
      <c r="Q23" s="613" t="s">
        <v>1128</v>
      </c>
      <c r="R23" s="613"/>
      <c r="S23" s="595">
        <f>S22-M23</f>
        <v>1441.389709601428</v>
      </c>
    </row>
    <row r="24" spans="1:19" ht="11.25" customHeight="1">
      <c r="B24" s="639">
        <v>45312</v>
      </c>
      <c r="C24" s="642" t="s">
        <v>1116</v>
      </c>
      <c r="D24" s="640"/>
      <c r="E24" s="640">
        <v>5</v>
      </c>
      <c r="F24" s="640" t="s">
        <v>107</v>
      </c>
      <c r="G24" s="640"/>
      <c r="H24" s="642"/>
      <c r="I24" s="641"/>
      <c r="J24" s="643"/>
      <c r="K24" s="667">
        <v>6000</v>
      </c>
      <c r="L24" s="612">
        <f>'통장내역(환율표)'!$D$145</f>
        <v>7.1613626117569593</v>
      </c>
      <c r="M24" s="703">
        <f>K24/L24</f>
        <v>837.82938042400951</v>
      </c>
      <c r="N24" s="685">
        <f t="shared" si="3"/>
        <v>389477.19999999995</v>
      </c>
      <c r="O24" s="686">
        <f t="shared" si="4"/>
        <v>54509.560329177417</v>
      </c>
      <c r="P24" s="680" t="s">
        <v>1080</v>
      </c>
      <c r="Q24" s="613" t="s">
        <v>1128</v>
      </c>
      <c r="R24" s="613"/>
      <c r="S24" s="595">
        <f>S23-M24</f>
        <v>603.56032917741845</v>
      </c>
    </row>
    <row r="25" spans="1:19" ht="11.25" customHeight="1">
      <c r="B25" s="639">
        <v>45312</v>
      </c>
      <c r="C25" s="642" t="s">
        <v>1117</v>
      </c>
      <c r="D25" s="640"/>
      <c r="E25" s="640">
        <v>6</v>
      </c>
      <c r="F25" s="640" t="s">
        <v>107</v>
      </c>
      <c r="G25" s="640"/>
      <c r="H25" s="642"/>
      <c r="I25" s="641"/>
      <c r="J25" s="643"/>
      <c r="K25" s="668">
        <v>700</v>
      </c>
      <c r="L25" s="612">
        <f>'통장내역(환율표)'!$D$145</f>
        <v>7.1613626117569593</v>
      </c>
      <c r="M25" s="703">
        <f>K25/L25</f>
        <v>97.746761049467779</v>
      </c>
      <c r="N25" s="685">
        <f t="shared" si="3"/>
        <v>388777.19999999995</v>
      </c>
      <c r="O25" s="686">
        <f t="shared" si="4"/>
        <v>54411.813568127945</v>
      </c>
      <c r="P25" s="680" t="s">
        <v>1080</v>
      </c>
      <c r="Q25" s="613" t="s">
        <v>1128</v>
      </c>
      <c r="R25" s="613"/>
      <c r="S25" s="595">
        <f>S24-M25</f>
        <v>505.8135681279507</v>
      </c>
    </row>
    <row r="26" spans="1:19" ht="11.25" hidden="1" customHeight="1">
      <c r="B26" s="692">
        <v>45312</v>
      </c>
      <c r="C26" s="704" t="s">
        <v>305</v>
      </c>
      <c r="D26" s="693"/>
      <c r="E26" s="693">
        <v>7</v>
      </c>
      <c r="F26" s="693" t="s">
        <v>105</v>
      </c>
      <c r="G26" s="693" t="s">
        <v>227</v>
      </c>
      <c r="H26" s="705"/>
      <c r="I26" s="706"/>
      <c r="J26" s="707"/>
      <c r="K26" s="708">
        <f>L26*M26</f>
        <v>3622.3143753108875</v>
      </c>
      <c r="L26" s="697">
        <f>'통장내역(환율표)'!$D$145</f>
        <v>7.1613626117569593</v>
      </c>
      <c r="M26" s="703">
        <v>505.8135681279507</v>
      </c>
      <c r="N26" s="699">
        <f t="shared" si="3"/>
        <v>385154.88562468905</v>
      </c>
      <c r="O26" s="700">
        <f t="shared" si="4"/>
        <v>53905.999999999993</v>
      </c>
      <c r="P26" s="701" t="s">
        <v>1080</v>
      </c>
      <c r="Q26" s="702" t="s">
        <v>1128</v>
      </c>
      <c r="R26" s="702"/>
      <c r="S26" s="595">
        <f>S25-M26</f>
        <v>0</v>
      </c>
    </row>
    <row r="27" spans="1:19" ht="11.25" hidden="1" customHeight="1">
      <c r="B27" s="692">
        <v>45312</v>
      </c>
      <c r="C27" s="704" t="s">
        <v>305</v>
      </c>
      <c r="D27" s="693"/>
      <c r="E27" s="693">
        <v>7</v>
      </c>
      <c r="F27" s="693" t="s">
        <v>105</v>
      </c>
      <c r="G27" s="693" t="s">
        <v>227</v>
      </c>
      <c r="H27" s="705"/>
      <c r="I27" s="706"/>
      <c r="J27" s="707"/>
      <c r="K27" s="708">
        <f>7000-K26</f>
        <v>3377.6856246891125</v>
      </c>
      <c r="L27" s="697">
        <f>'통장내역(환율표)'!$D$154</f>
        <v>7.1452847549437903</v>
      </c>
      <c r="M27" s="689">
        <f t="shared" ref="M27:M58" si="5">K27/L27</f>
        <v>472.71532773443454</v>
      </c>
      <c r="N27" s="699">
        <f t="shared" si="3"/>
        <v>381777.19999999995</v>
      </c>
      <c r="O27" s="700">
        <f t="shared" si="4"/>
        <v>53433.284672265559</v>
      </c>
      <c r="P27" s="701" t="s">
        <v>1129</v>
      </c>
      <c r="Q27" s="702" t="s">
        <v>1130</v>
      </c>
      <c r="R27" s="702"/>
      <c r="S27" s="595">
        <f>53906-M27</f>
        <v>53433.284672265567</v>
      </c>
    </row>
    <row r="28" spans="1:19" ht="11.25" customHeight="1">
      <c r="B28" s="639">
        <v>45312</v>
      </c>
      <c r="C28" s="644" t="s">
        <v>1116</v>
      </c>
      <c r="D28" s="640"/>
      <c r="E28" s="640">
        <v>8</v>
      </c>
      <c r="F28" s="640" t="s">
        <v>107</v>
      </c>
      <c r="G28" s="640"/>
      <c r="H28" s="642"/>
      <c r="I28" s="641"/>
      <c r="J28" s="643"/>
      <c r="K28" s="668">
        <v>6000</v>
      </c>
      <c r="L28" s="612">
        <f>'통장내역(환율표)'!$D$154</f>
        <v>7.1452847549437903</v>
      </c>
      <c r="M28" s="689">
        <f t="shared" si="5"/>
        <v>839.71460981294376</v>
      </c>
      <c r="N28" s="685">
        <f t="shared" si="3"/>
        <v>375777.19999999995</v>
      </c>
      <c r="O28" s="686">
        <f t="shared" si="4"/>
        <v>52593.570062452614</v>
      </c>
      <c r="P28" s="680" t="s">
        <v>1129</v>
      </c>
      <c r="Q28" s="613" t="s">
        <v>1130</v>
      </c>
      <c r="R28" s="613"/>
      <c r="S28" s="595">
        <f>S27-M28</f>
        <v>52593.570062452622</v>
      </c>
    </row>
    <row r="29" spans="1:19" ht="11.25" customHeight="1">
      <c r="B29" s="639">
        <v>45312</v>
      </c>
      <c r="C29" s="644" t="s">
        <v>1117</v>
      </c>
      <c r="D29" s="640"/>
      <c r="E29" s="640">
        <v>9</v>
      </c>
      <c r="F29" s="640" t="s">
        <v>107</v>
      </c>
      <c r="G29" s="640"/>
      <c r="H29" s="642"/>
      <c r="I29" s="641"/>
      <c r="J29" s="643"/>
      <c r="K29" s="668">
        <v>370</v>
      </c>
      <c r="L29" s="612">
        <f>'통장내역(환율표)'!$D$154</f>
        <v>7.1452847549437903</v>
      </c>
      <c r="M29" s="689">
        <f t="shared" si="5"/>
        <v>51.78240093846486</v>
      </c>
      <c r="N29" s="685">
        <f t="shared" si="3"/>
        <v>375407.19999999995</v>
      </c>
      <c r="O29" s="686">
        <f t="shared" si="4"/>
        <v>52541.78766151415</v>
      </c>
      <c r="P29" s="680" t="s">
        <v>1129</v>
      </c>
      <c r="Q29" s="613" t="s">
        <v>1130</v>
      </c>
      <c r="R29" s="613"/>
      <c r="S29" s="595">
        <f t="shared" ref="S29:S92" si="6">S28-M29</f>
        <v>52541.787661514158</v>
      </c>
    </row>
    <row r="30" spans="1:19" ht="11.25" customHeight="1">
      <c r="B30" s="639">
        <v>45312</v>
      </c>
      <c r="C30" s="644" t="s">
        <v>445</v>
      </c>
      <c r="D30" s="640"/>
      <c r="E30" s="640">
        <v>10</v>
      </c>
      <c r="F30" s="640" t="s">
        <v>107</v>
      </c>
      <c r="G30" s="640"/>
      <c r="H30" s="642"/>
      <c r="I30" s="641"/>
      <c r="J30" s="643"/>
      <c r="K30" s="668">
        <v>7.2</v>
      </c>
      <c r="L30" s="612">
        <f>'통장내역(환율표)'!$D$154</f>
        <v>7.1452847549437903</v>
      </c>
      <c r="M30" s="689">
        <f t="shared" si="5"/>
        <v>1.0076575317755325</v>
      </c>
      <c r="N30" s="685">
        <f t="shared" si="3"/>
        <v>375399.99999999994</v>
      </c>
      <c r="O30" s="686">
        <f t="shared" si="4"/>
        <v>52540.780003982378</v>
      </c>
      <c r="P30" s="680" t="s">
        <v>1129</v>
      </c>
      <c r="Q30" s="613" t="s">
        <v>1130</v>
      </c>
      <c r="R30" s="613"/>
      <c r="S30" s="595">
        <f t="shared" si="6"/>
        <v>52540.780003982385</v>
      </c>
    </row>
    <row r="31" spans="1:19" ht="11.25" hidden="1" customHeight="1">
      <c r="B31" s="639">
        <v>45312</v>
      </c>
      <c r="C31" s="644" t="s">
        <v>304</v>
      </c>
      <c r="D31" s="640"/>
      <c r="E31" s="640">
        <v>11</v>
      </c>
      <c r="F31" s="640" t="s">
        <v>105</v>
      </c>
      <c r="G31" s="640" t="s">
        <v>1131</v>
      </c>
      <c r="H31" s="642"/>
      <c r="I31" s="641"/>
      <c r="J31" s="643"/>
      <c r="K31" s="718">
        <v>20023</v>
      </c>
      <c r="L31" s="612">
        <f>'통장내역(환율표)'!$D$154</f>
        <v>7.1452847549437903</v>
      </c>
      <c r="M31" s="689">
        <f t="shared" si="5"/>
        <v>2802.2676053807618</v>
      </c>
      <c r="N31" s="685">
        <f t="shared" si="3"/>
        <v>355376.99999999994</v>
      </c>
      <c r="O31" s="686">
        <f t="shared" si="4"/>
        <v>49738.512398601619</v>
      </c>
      <c r="P31" s="680" t="s">
        <v>1129</v>
      </c>
      <c r="Q31" s="613" t="s">
        <v>1130</v>
      </c>
      <c r="R31" s="613" t="s">
        <v>304</v>
      </c>
      <c r="S31" s="595">
        <f t="shared" si="6"/>
        <v>49738.512398601626</v>
      </c>
    </row>
    <row r="32" spans="1:19" ht="11.25" customHeight="1">
      <c r="B32" s="639">
        <v>45312</v>
      </c>
      <c r="C32" s="644" t="s">
        <v>445</v>
      </c>
      <c r="D32" s="640"/>
      <c r="E32" s="640">
        <v>12</v>
      </c>
      <c r="F32" s="640" t="s">
        <v>107</v>
      </c>
      <c r="G32" s="640"/>
      <c r="H32" s="642"/>
      <c r="I32" s="641"/>
      <c r="J32" s="643"/>
      <c r="K32" s="719">
        <v>7.2</v>
      </c>
      <c r="L32" s="612">
        <f>'통장내역(환율표)'!$D$154</f>
        <v>7.1452847549437903</v>
      </c>
      <c r="M32" s="689">
        <f t="shared" si="5"/>
        <v>1.0076575317755325</v>
      </c>
      <c r="N32" s="685">
        <f t="shared" si="3"/>
        <v>355369.79999999993</v>
      </c>
      <c r="O32" s="686">
        <f t="shared" si="4"/>
        <v>49737.504741069846</v>
      </c>
      <c r="P32" s="680" t="s">
        <v>1129</v>
      </c>
      <c r="Q32" s="613" t="s">
        <v>1130</v>
      </c>
      <c r="R32" s="613"/>
      <c r="S32" s="595">
        <f t="shared" si="6"/>
        <v>49737.504741069853</v>
      </c>
    </row>
    <row r="33" spans="2:19" ht="11.25" customHeight="1">
      <c r="B33" s="639">
        <v>45312</v>
      </c>
      <c r="C33" s="644" t="s">
        <v>732</v>
      </c>
      <c r="D33" s="640"/>
      <c r="E33" s="640">
        <v>13</v>
      </c>
      <c r="F33" s="640" t="s">
        <v>107</v>
      </c>
      <c r="G33" s="640"/>
      <c r="H33" s="642"/>
      <c r="I33" s="641"/>
      <c r="J33" s="643"/>
      <c r="K33" s="675">
        <v>606.72</v>
      </c>
      <c r="L33" s="612">
        <f>'통장내역(환율표)'!$D$154</f>
        <v>7.1452847549437903</v>
      </c>
      <c r="M33" s="689">
        <f t="shared" si="5"/>
        <v>84.91194134428487</v>
      </c>
      <c r="N33" s="685">
        <f t="shared" si="3"/>
        <v>354763.07999999996</v>
      </c>
      <c r="O33" s="686">
        <f t="shared" si="4"/>
        <v>49652.592799725564</v>
      </c>
      <c r="P33" s="680" t="s">
        <v>1129</v>
      </c>
      <c r="Q33" s="613" t="s">
        <v>1130</v>
      </c>
      <c r="R33" s="613" t="s">
        <v>732</v>
      </c>
      <c r="S33" s="595">
        <f t="shared" si="6"/>
        <v>49652.592799725571</v>
      </c>
    </row>
    <row r="34" spans="2:19" ht="11.25" customHeight="1">
      <c r="B34" s="639">
        <v>45312</v>
      </c>
      <c r="C34" s="644" t="s">
        <v>445</v>
      </c>
      <c r="D34" s="640"/>
      <c r="E34" s="640">
        <v>14</v>
      </c>
      <c r="F34" s="640" t="s">
        <v>107</v>
      </c>
      <c r="G34" s="640"/>
      <c r="H34" s="642"/>
      <c r="I34" s="641"/>
      <c r="J34" s="643"/>
      <c r="K34" s="675">
        <v>3.6</v>
      </c>
      <c r="L34" s="612">
        <f>'통장내역(환율표)'!$D$154</f>
        <v>7.1452847549437903</v>
      </c>
      <c r="M34" s="689">
        <f t="shared" si="5"/>
        <v>0.50382876588776626</v>
      </c>
      <c r="N34" s="685">
        <f t="shared" si="3"/>
        <v>354759.48</v>
      </c>
      <c r="O34" s="686">
        <f t="shared" si="4"/>
        <v>49652.088970959674</v>
      </c>
      <c r="P34" s="680" t="s">
        <v>1129</v>
      </c>
      <c r="Q34" s="613" t="s">
        <v>1130</v>
      </c>
      <c r="R34" s="613"/>
      <c r="S34" s="595">
        <f t="shared" si="6"/>
        <v>49652.088970959681</v>
      </c>
    </row>
    <row r="35" spans="2:19" ht="11.25" customHeight="1">
      <c r="B35" s="639">
        <v>45312</v>
      </c>
      <c r="C35" s="644" t="s">
        <v>885</v>
      </c>
      <c r="D35" s="640"/>
      <c r="E35" s="640">
        <v>15</v>
      </c>
      <c r="F35" s="640" t="s">
        <v>107</v>
      </c>
      <c r="G35" s="640"/>
      <c r="H35" s="642"/>
      <c r="I35" s="641"/>
      <c r="J35" s="643"/>
      <c r="K35" s="709">
        <v>1010</v>
      </c>
      <c r="L35" s="612">
        <f>'통장내역(환율표)'!$D$154</f>
        <v>7.1452847549437903</v>
      </c>
      <c r="M35" s="689">
        <f t="shared" si="5"/>
        <v>141.3519593185122</v>
      </c>
      <c r="N35" s="685">
        <f t="shared" si="3"/>
        <v>353749.48</v>
      </c>
      <c r="O35" s="686">
        <f t="shared" si="4"/>
        <v>49510.737011641162</v>
      </c>
      <c r="P35" s="680" t="s">
        <v>1129</v>
      </c>
      <c r="Q35" s="613" t="s">
        <v>1130</v>
      </c>
      <c r="R35" s="613" t="s">
        <v>885</v>
      </c>
      <c r="S35" s="595">
        <f t="shared" si="6"/>
        <v>49510.737011641169</v>
      </c>
    </row>
    <row r="36" spans="2:19" ht="11.25" customHeight="1">
      <c r="B36" s="639">
        <v>45312</v>
      </c>
      <c r="C36" s="644" t="s">
        <v>445</v>
      </c>
      <c r="D36" s="640"/>
      <c r="E36" s="640">
        <v>16</v>
      </c>
      <c r="F36" s="640" t="s">
        <v>107</v>
      </c>
      <c r="G36" s="640"/>
      <c r="H36" s="642"/>
      <c r="I36" s="641"/>
      <c r="J36" s="643"/>
      <c r="K36" s="709">
        <v>3.6</v>
      </c>
      <c r="L36" s="612">
        <f>'통장내역(환율표)'!$D$154</f>
        <v>7.1452847549437903</v>
      </c>
      <c r="M36" s="689">
        <f t="shared" si="5"/>
        <v>0.50382876588776626</v>
      </c>
      <c r="N36" s="685">
        <f t="shared" si="3"/>
        <v>353745.88</v>
      </c>
      <c r="O36" s="686">
        <f t="shared" si="4"/>
        <v>49510.233182875272</v>
      </c>
      <c r="P36" s="680" t="s">
        <v>1129</v>
      </c>
      <c r="Q36" s="613" t="s">
        <v>1130</v>
      </c>
      <c r="R36" s="613"/>
      <c r="S36" s="595">
        <f t="shared" si="6"/>
        <v>49510.233182875279</v>
      </c>
    </row>
    <row r="37" spans="2:19" ht="11.25" customHeight="1">
      <c r="B37" s="639">
        <v>45312</v>
      </c>
      <c r="C37" s="669" t="s">
        <v>892</v>
      </c>
      <c r="D37" s="640"/>
      <c r="E37" s="640">
        <v>17</v>
      </c>
      <c r="F37" s="640" t="s">
        <v>107</v>
      </c>
      <c r="G37" s="640"/>
      <c r="H37" s="642"/>
      <c r="I37" s="641"/>
      <c r="J37" s="643"/>
      <c r="K37" s="667">
        <v>16000</v>
      </c>
      <c r="L37" s="612">
        <f>'통장내역(환율표)'!$D$154</f>
        <v>7.1452847549437903</v>
      </c>
      <c r="M37" s="689">
        <f t="shared" si="5"/>
        <v>2239.2389595011832</v>
      </c>
      <c r="N37" s="685">
        <f t="shared" si="3"/>
        <v>337745.88</v>
      </c>
      <c r="O37" s="686">
        <f t="shared" si="4"/>
        <v>47270.994223374088</v>
      </c>
      <c r="P37" s="680" t="s">
        <v>1129</v>
      </c>
      <c r="Q37" s="613" t="s">
        <v>1130</v>
      </c>
      <c r="R37" s="670" t="s">
        <v>1119</v>
      </c>
      <c r="S37" s="595">
        <f t="shared" si="6"/>
        <v>47270.994223374095</v>
      </c>
    </row>
    <row r="38" spans="2:19" ht="11.25" customHeight="1">
      <c r="B38" s="639">
        <v>45312</v>
      </c>
      <c r="C38" s="669" t="s">
        <v>947</v>
      </c>
      <c r="D38" s="640"/>
      <c r="E38" s="640">
        <v>17</v>
      </c>
      <c r="F38" s="640" t="s">
        <v>107</v>
      </c>
      <c r="G38" s="640"/>
      <c r="H38" s="642"/>
      <c r="I38" s="641"/>
      <c r="J38" s="643"/>
      <c r="K38" s="667">
        <v>24000</v>
      </c>
      <c r="L38" s="612">
        <f>'통장내역(환율표)'!$D$154</f>
        <v>7.1452847549437903</v>
      </c>
      <c r="M38" s="689">
        <f t="shared" si="5"/>
        <v>3358.8584392517751</v>
      </c>
      <c r="N38" s="685">
        <f t="shared" si="3"/>
        <v>313745.88</v>
      </c>
      <c r="O38" s="686">
        <f t="shared" si="4"/>
        <v>43912.135784122314</v>
      </c>
      <c r="P38" s="680" t="s">
        <v>1129</v>
      </c>
      <c r="Q38" s="613" t="s">
        <v>1130</v>
      </c>
      <c r="R38" s="670" t="s">
        <v>1119</v>
      </c>
      <c r="S38" s="595">
        <f t="shared" si="6"/>
        <v>43912.135784122322</v>
      </c>
    </row>
    <row r="39" spans="2:19" ht="11.25" customHeight="1">
      <c r="B39" s="639">
        <v>45312</v>
      </c>
      <c r="C39" s="669" t="s">
        <v>894</v>
      </c>
      <c r="D39" s="640"/>
      <c r="E39" s="640">
        <v>17</v>
      </c>
      <c r="F39" s="640" t="s">
        <v>107</v>
      </c>
      <c r="G39" s="640"/>
      <c r="H39" s="642"/>
      <c r="I39" s="641"/>
      <c r="J39" s="643"/>
      <c r="K39" s="710">
        <v>4957.0300000000007</v>
      </c>
      <c r="L39" s="612">
        <f>'통장내역(환율표)'!$D$154</f>
        <v>7.1452847549437903</v>
      </c>
      <c r="M39" s="689">
        <f t="shared" si="5"/>
        <v>693.74841871350952</v>
      </c>
      <c r="N39" s="685">
        <f t="shared" si="3"/>
        <v>308788.84999999998</v>
      </c>
      <c r="O39" s="686">
        <f t="shared" si="4"/>
        <v>43218.387365408802</v>
      </c>
      <c r="P39" s="680" t="s">
        <v>1129</v>
      </c>
      <c r="Q39" s="613" t="s">
        <v>1130</v>
      </c>
      <c r="R39" s="670" t="s">
        <v>1119</v>
      </c>
      <c r="S39" s="595">
        <f t="shared" si="6"/>
        <v>43218.387365408809</v>
      </c>
    </row>
    <row r="40" spans="2:19" ht="11.25" customHeight="1">
      <c r="B40" s="639">
        <v>45312</v>
      </c>
      <c r="C40" s="669" t="s">
        <v>895</v>
      </c>
      <c r="D40" s="640"/>
      <c r="E40" s="640">
        <v>17</v>
      </c>
      <c r="F40" s="640" t="s">
        <v>107</v>
      </c>
      <c r="G40" s="640"/>
      <c r="H40" s="642"/>
      <c r="I40" s="641"/>
      <c r="J40" s="643"/>
      <c r="K40" s="710">
        <v>1001.04</v>
      </c>
      <c r="L40" s="612">
        <f>'통장내역(환율표)'!$D$154</f>
        <v>7.1452847549437903</v>
      </c>
      <c r="M40" s="689">
        <f t="shared" si="5"/>
        <v>140.09798550119152</v>
      </c>
      <c r="N40" s="685">
        <f t="shared" si="3"/>
        <v>307787.81</v>
      </c>
      <c r="O40" s="686">
        <f t="shared" si="4"/>
        <v>43078.289379907612</v>
      </c>
      <c r="P40" s="680" t="s">
        <v>1129</v>
      </c>
      <c r="Q40" s="613" t="s">
        <v>1130</v>
      </c>
      <c r="R40" s="670" t="s">
        <v>1119</v>
      </c>
      <c r="S40" s="595">
        <f t="shared" si="6"/>
        <v>43078.289379907619</v>
      </c>
    </row>
    <row r="41" spans="2:19" ht="11.25" customHeight="1">
      <c r="B41" s="639">
        <v>45312</v>
      </c>
      <c r="C41" s="669" t="s">
        <v>899</v>
      </c>
      <c r="D41" s="640"/>
      <c r="E41" s="640">
        <v>17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'통장내역(환율표)'!$D$154</f>
        <v>7.1452847549437903</v>
      </c>
      <c r="M41" s="689">
        <f t="shared" si="5"/>
        <v>41.985730490647185</v>
      </c>
      <c r="N41" s="685">
        <f t="shared" si="3"/>
        <v>307487.81</v>
      </c>
      <c r="O41" s="686">
        <f t="shared" si="4"/>
        <v>43036.303649416965</v>
      </c>
      <c r="P41" s="680" t="s">
        <v>1129</v>
      </c>
      <c r="Q41" s="613" t="s">
        <v>1130</v>
      </c>
      <c r="R41" s="670" t="s">
        <v>1119</v>
      </c>
      <c r="S41" s="595">
        <f t="shared" si="6"/>
        <v>43036.303649416972</v>
      </c>
    </row>
    <row r="42" spans="2:19" ht="11.25" customHeight="1">
      <c r="B42" s="639">
        <v>45312</v>
      </c>
      <c r="C42" s="669" t="s">
        <v>892</v>
      </c>
      <c r="D42" s="640"/>
      <c r="E42" s="640">
        <v>17</v>
      </c>
      <c r="F42" s="640" t="s">
        <v>107</v>
      </c>
      <c r="G42" s="640"/>
      <c r="H42" s="642"/>
      <c r="I42" s="641"/>
      <c r="J42" s="643"/>
      <c r="K42" s="667">
        <v>15000</v>
      </c>
      <c r="L42" s="612">
        <f>'통장내역(환율표)'!$D$154</f>
        <v>7.1452847549437903</v>
      </c>
      <c r="M42" s="689">
        <f t="shared" si="5"/>
        <v>2099.2865245323592</v>
      </c>
      <c r="N42" s="685">
        <f t="shared" si="3"/>
        <v>292487.81</v>
      </c>
      <c r="O42" s="686">
        <f t="shared" si="4"/>
        <v>40937.017124884602</v>
      </c>
      <c r="P42" s="680" t="s">
        <v>1129</v>
      </c>
      <c r="Q42" s="613" t="s">
        <v>1130</v>
      </c>
      <c r="R42" s="670" t="s">
        <v>1120</v>
      </c>
      <c r="S42" s="595">
        <f t="shared" si="6"/>
        <v>40937.017124884616</v>
      </c>
    </row>
    <row r="43" spans="2:19" ht="11.25" customHeight="1">
      <c r="B43" s="639">
        <v>45312</v>
      </c>
      <c r="C43" s="669" t="s">
        <v>947</v>
      </c>
      <c r="D43" s="640"/>
      <c r="E43" s="640">
        <v>17</v>
      </c>
      <c r="F43" s="640" t="s">
        <v>107</v>
      </c>
      <c r="G43" s="640"/>
      <c r="H43" s="642"/>
      <c r="I43" s="641"/>
      <c r="J43" s="643"/>
      <c r="K43" s="667">
        <v>22000</v>
      </c>
      <c r="L43" s="612">
        <f>'통장내역(환율표)'!$D$154</f>
        <v>7.1452847549437903</v>
      </c>
      <c r="M43" s="689">
        <f t="shared" si="5"/>
        <v>3078.953569314127</v>
      </c>
      <c r="N43" s="685">
        <f t="shared" si="3"/>
        <v>270487.81</v>
      </c>
      <c r="O43" s="686">
        <f t="shared" si="4"/>
        <v>37858.063555570472</v>
      </c>
      <c r="P43" s="680" t="s">
        <v>1129</v>
      </c>
      <c r="Q43" s="613" t="s">
        <v>1130</v>
      </c>
      <c r="R43" s="670" t="s">
        <v>1120</v>
      </c>
      <c r="S43" s="595">
        <f t="shared" si="6"/>
        <v>37858.063555570487</v>
      </c>
    </row>
    <row r="44" spans="2:19" ht="11.25" customHeight="1">
      <c r="B44" s="639">
        <v>45312</v>
      </c>
      <c r="C44" s="669" t="s">
        <v>894</v>
      </c>
      <c r="D44" s="640"/>
      <c r="E44" s="640">
        <v>17</v>
      </c>
      <c r="F44" s="640" t="s">
        <v>107</v>
      </c>
      <c r="G44" s="640"/>
      <c r="H44" s="642"/>
      <c r="I44" s="641"/>
      <c r="J44" s="643"/>
      <c r="K44" s="710">
        <v>8399.7900000000009</v>
      </c>
      <c r="L44" s="612">
        <f>'통장내역(환율표)'!$D$154</f>
        <v>7.1452847549437903</v>
      </c>
      <c r="M44" s="689">
        <f t="shared" si="5"/>
        <v>1175.5710637267778</v>
      </c>
      <c r="N44" s="685">
        <f t="shared" si="3"/>
        <v>262088.02</v>
      </c>
      <c r="O44" s="686">
        <f t="shared" si="4"/>
        <v>36682.492491843695</v>
      </c>
      <c r="P44" s="680" t="s">
        <v>1129</v>
      </c>
      <c r="Q44" s="613" t="s">
        <v>1130</v>
      </c>
      <c r="R44" s="670" t="s">
        <v>1120</v>
      </c>
      <c r="S44" s="595">
        <f t="shared" si="6"/>
        <v>36682.49249184371</v>
      </c>
    </row>
    <row r="45" spans="2:19" ht="11.25" customHeight="1">
      <c r="B45" s="639">
        <v>45312</v>
      </c>
      <c r="C45" s="669" t="s">
        <v>895</v>
      </c>
      <c r="D45" s="640"/>
      <c r="E45" s="640">
        <v>17</v>
      </c>
      <c r="F45" s="640" t="s">
        <v>107</v>
      </c>
      <c r="G45" s="640"/>
      <c r="H45" s="642"/>
      <c r="I45" s="641"/>
      <c r="J45" s="643"/>
      <c r="K45" s="710">
        <v>860.1</v>
      </c>
      <c r="L45" s="612">
        <f>'통장내역(환율표)'!$D$154</f>
        <v>7.1452847549437903</v>
      </c>
      <c r="M45" s="689">
        <f t="shared" si="5"/>
        <v>120.37308931668548</v>
      </c>
      <c r="N45" s="685">
        <f t="shared" si="3"/>
        <v>261227.91999999998</v>
      </c>
      <c r="O45" s="686">
        <f t="shared" si="4"/>
        <v>36562.119402527009</v>
      </c>
      <c r="P45" s="680" t="s">
        <v>1129</v>
      </c>
      <c r="Q45" s="613" t="s">
        <v>1130</v>
      </c>
      <c r="R45" s="670" t="s">
        <v>1120</v>
      </c>
      <c r="S45" s="595">
        <f t="shared" si="6"/>
        <v>36562.119402527023</v>
      </c>
    </row>
    <row r="46" spans="2:19" ht="11.25" customHeight="1">
      <c r="B46" s="639">
        <v>45312</v>
      </c>
      <c r="C46" s="669" t="s">
        <v>899</v>
      </c>
      <c r="D46" s="640"/>
      <c r="E46" s="640">
        <v>17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'통장내역(환율표)'!$D$154</f>
        <v>7.1452847549437903</v>
      </c>
      <c r="M46" s="689">
        <f t="shared" si="5"/>
        <v>41.985730490647185</v>
      </c>
      <c r="N46" s="685">
        <f t="shared" si="3"/>
        <v>260927.91999999998</v>
      </c>
      <c r="O46" s="686">
        <f t="shared" si="4"/>
        <v>36520.133672036362</v>
      </c>
      <c r="P46" s="680" t="s">
        <v>1129</v>
      </c>
      <c r="Q46" s="613" t="s">
        <v>1130</v>
      </c>
      <c r="R46" s="670" t="s">
        <v>1120</v>
      </c>
      <c r="S46" s="595">
        <f t="shared" si="6"/>
        <v>36520.133672036376</v>
      </c>
    </row>
    <row r="47" spans="2:19" ht="11.25" customHeight="1">
      <c r="B47" s="639">
        <v>45312</v>
      </c>
      <c r="C47" s="644" t="s">
        <v>898</v>
      </c>
      <c r="D47" s="640"/>
      <c r="E47" s="640">
        <v>17</v>
      </c>
      <c r="F47" s="640" t="s">
        <v>107</v>
      </c>
      <c r="G47" s="640"/>
      <c r="H47" s="642"/>
      <c r="I47" s="641"/>
      <c r="J47" s="643"/>
      <c r="K47" s="711">
        <v>25000</v>
      </c>
      <c r="L47" s="612">
        <f>'통장내역(환율표)'!$D$154</f>
        <v>7.1452847549437903</v>
      </c>
      <c r="M47" s="689">
        <f t="shared" si="5"/>
        <v>3498.8108742205986</v>
      </c>
      <c r="N47" s="685">
        <f t="shared" si="3"/>
        <v>235927.91999999998</v>
      </c>
      <c r="O47" s="686">
        <f t="shared" si="4"/>
        <v>33021.322797815767</v>
      </c>
      <c r="P47" s="680" t="s">
        <v>1129</v>
      </c>
      <c r="Q47" s="613" t="s">
        <v>1130</v>
      </c>
      <c r="R47" s="670" t="s">
        <v>1121</v>
      </c>
      <c r="S47" s="595">
        <f t="shared" si="6"/>
        <v>33021.322797815781</v>
      </c>
    </row>
    <row r="48" spans="2:19" ht="11.25" customHeight="1">
      <c r="B48" s="639">
        <v>45312</v>
      </c>
      <c r="C48" s="644" t="s">
        <v>1118</v>
      </c>
      <c r="D48" s="640"/>
      <c r="E48" s="640">
        <v>17</v>
      </c>
      <c r="F48" s="640" t="s">
        <v>107</v>
      </c>
      <c r="G48" s="640"/>
      <c r="H48" s="642"/>
      <c r="I48" s="641"/>
      <c r="J48" s="643"/>
      <c r="K48" s="711">
        <v>62500</v>
      </c>
      <c r="L48" s="612">
        <f>'통장내역(환율표)'!$D$154</f>
        <v>7.1452847549437903</v>
      </c>
      <c r="M48" s="689">
        <f t="shared" si="5"/>
        <v>8747.0271855514966</v>
      </c>
      <c r="N48" s="685">
        <f t="shared" si="3"/>
        <v>173427.91999999998</v>
      </c>
      <c r="O48" s="686">
        <f t="shared" si="4"/>
        <v>24274.295612264272</v>
      </c>
      <c r="P48" s="680" t="s">
        <v>1129</v>
      </c>
      <c r="Q48" s="613" t="s">
        <v>1130</v>
      </c>
      <c r="R48" s="670" t="s">
        <v>1121</v>
      </c>
      <c r="S48" s="595">
        <f t="shared" si="6"/>
        <v>24274.295612264286</v>
      </c>
    </row>
    <row r="49" spans="2:19" ht="11.25" customHeight="1">
      <c r="B49" s="639">
        <v>45312</v>
      </c>
      <c r="C49" s="644" t="s">
        <v>948</v>
      </c>
      <c r="D49" s="640"/>
      <c r="E49" s="640">
        <v>17</v>
      </c>
      <c r="F49" s="640" t="s">
        <v>107</v>
      </c>
      <c r="G49" s="640"/>
      <c r="H49" s="642"/>
      <c r="I49" s="641"/>
      <c r="J49" s="643"/>
      <c r="K49" s="710">
        <v>8047.44</v>
      </c>
      <c r="L49" s="612">
        <f>'통장내역(환율표)'!$D$154</f>
        <v>7.1452847549437903</v>
      </c>
      <c r="M49" s="689">
        <f t="shared" si="5"/>
        <v>1126.2588232655125</v>
      </c>
      <c r="N49" s="685">
        <f t="shared" si="3"/>
        <v>165380.47999999998</v>
      </c>
      <c r="O49" s="686">
        <f t="shared" si="4"/>
        <v>23148.036788998761</v>
      </c>
      <c r="P49" s="680" t="s">
        <v>1129</v>
      </c>
      <c r="Q49" s="613" t="s">
        <v>1130</v>
      </c>
      <c r="R49" s="670" t="s">
        <v>1121</v>
      </c>
      <c r="S49" s="595">
        <f t="shared" si="6"/>
        <v>23148.036788998776</v>
      </c>
    </row>
    <row r="50" spans="2:19" ht="11.25" customHeight="1">
      <c r="B50" s="639">
        <v>45312</v>
      </c>
      <c r="C50" s="644" t="s">
        <v>899</v>
      </c>
      <c r="D50" s="640"/>
      <c r="E50" s="640">
        <v>17</v>
      </c>
      <c r="F50" s="640" t="s">
        <v>107</v>
      </c>
      <c r="G50" s="640"/>
      <c r="H50" s="642"/>
      <c r="I50" s="641"/>
      <c r="J50" s="643"/>
      <c r="K50" s="710">
        <v>300</v>
      </c>
      <c r="L50" s="612">
        <f>'통장내역(환율표)'!$D$154</f>
        <v>7.1452847549437903</v>
      </c>
      <c r="M50" s="689">
        <f t="shared" si="5"/>
        <v>41.985730490647185</v>
      </c>
      <c r="N50" s="685">
        <f t="shared" si="3"/>
        <v>165080.47999999998</v>
      </c>
      <c r="O50" s="686">
        <f t="shared" si="4"/>
        <v>23106.051058508114</v>
      </c>
      <c r="P50" s="680" t="s">
        <v>1129</v>
      </c>
      <c r="Q50" s="613" t="s">
        <v>1130</v>
      </c>
      <c r="R50" s="670" t="s">
        <v>1121</v>
      </c>
      <c r="S50" s="595">
        <f t="shared" si="6"/>
        <v>23106.051058508128</v>
      </c>
    </row>
    <row r="51" spans="2:19" ht="11.25" customHeight="1">
      <c r="B51" s="639">
        <v>45312</v>
      </c>
      <c r="C51" s="644" t="s">
        <v>992</v>
      </c>
      <c r="D51" s="640"/>
      <c r="E51" s="640">
        <v>17</v>
      </c>
      <c r="F51" s="640" t="s">
        <v>107</v>
      </c>
      <c r="G51" s="640"/>
      <c r="H51" s="642"/>
      <c r="I51" s="641"/>
      <c r="J51" s="643"/>
      <c r="K51" s="710">
        <v>1100</v>
      </c>
      <c r="L51" s="612">
        <f>'통장내역(환율표)'!$D$154</f>
        <v>7.1452847549437903</v>
      </c>
      <c r="M51" s="689">
        <f t="shared" si="5"/>
        <v>153.94767846570636</v>
      </c>
      <c r="N51" s="685">
        <f t="shared" ref="N51:N82" si="7">N50+H51-K51</f>
        <v>163980.47999999998</v>
      </c>
      <c r="O51" s="686">
        <f t="shared" ref="O51:O82" si="8">O50+J51-M51</f>
        <v>22952.103380042408</v>
      </c>
      <c r="P51" s="680" t="s">
        <v>1129</v>
      </c>
      <c r="Q51" s="613" t="s">
        <v>1130</v>
      </c>
      <c r="R51" s="670" t="s">
        <v>1121</v>
      </c>
      <c r="S51" s="595">
        <f t="shared" si="6"/>
        <v>22952.103380042423</v>
      </c>
    </row>
    <row r="52" spans="2:19" ht="11.25" customHeight="1">
      <c r="B52" s="639">
        <v>45312</v>
      </c>
      <c r="C52" s="644" t="s">
        <v>898</v>
      </c>
      <c r="D52" s="640"/>
      <c r="E52" s="640">
        <v>17</v>
      </c>
      <c r="F52" s="640" t="s">
        <v>107</v>
      </c>
      <c r="G52" s="640"/>
      <c r="H52" s="642"/>
      <c r="I52" s="641"/>
      <c r="J52" s="643"/>
      <c r="K52" s="711">
        <v>13000</v>
      </c>
      <c r="L52" s="612">
        <f>'통장내역(환율표)'!$D$154</f>
        <v>7.1452847549437903</v>
      </c>
      <c r="M52" s="689">
        <f t="shared" si="5"/>
        <v>1819.3816545947113</v>
      </c>
      <c r="N52" s="685">
        <f t="shared" si="7"/>
        <v>150980.47999999998</v>
      </c>
      <c r="O52" s="686">
        <f t="shared" si="8"/>
        <v>21132.721725447696</v>
      </c>
      <c r="P52" s="680" t="s">
        <v>1129</v>
      </c>
      <c r="Q52" s="613" t="s">
        <v>1130</v>
      </c>
      <c r="R52" s="712" t="s">
        <v>1122</v>
      </c>
      <c r="S52" s="595">
        <f t="shared" si="6"/>
        <v>21132.721725447711</v>
      </c>
    </row>
    <row r="53" spans="2:19" ht="11.25" customHeight="1">
      <c r="B53" s="639">
        <v>45312</v>
      </c>
      <c r="C53" s="644" t="s">
        <v>1118</v>
      </c>
      <c r="D53" s="640"/>
      <c r="E53" s="640">
        <v>17</v>
      </c>
      <c r="F53" s="640" t="s">
        <v>107</v>
      </c>
      <c r="G53" s="640"/>
      <c r="H53" s="642"/>
      <c r="I53" s="641"/>
      <c r="J53" s="643"/>
      <c r="K53" s="711">
        <v>4000</v>
      </c>
      <c r="L53" s="612">
        <f>'통장내역(환율표)'!$D$154</f>
        <v>7.1452847549437903</v>
      </c>
      <c r="M53" s="689">
        <f t="shared" si="5"/>
        <v>559.8097398752958</v>
      </c>
      <c r="N53" s="685">
        <f t="shared" si="7"/>
        <v>146980.47999999998</v>
      </c>
      <c r="O53" s="686">
        <f t="shared" si="8"/>
        <v>20572.911985572402</v>
      </c>
      <c r="P53" s="680" t="s">
        <v>1129</v>
      </c>
      <c r="Q53" s="613" t="s">
        <v>1130</v>
      </c>
      <c r="R53" s="712" t="s">
        <v>1122</v>
      </c>
      <c r="S53" s="595">
        <f t="shared" si="6"/>
        <v>20572.911985572417</v>
      </c>
    </row>
    <row r="54" spans="2:19" ht="11.25" customHeight="1">
      <c r="B54" s="639">
        <v>45312</v>
      </c>
      <c r="C54" s="644" t="s">
        <v>948</v>
      </c>
      <c r="D54" s="640"/>
      <c r="E54" s="640">
        <v>17</v>
      </c>
      <c r="F54" s="640" t="s">
        <v>107</v>
      </c>
      <c r="G54" s="640"/>
      <c r="H54" s="642"/>
      <c r="I54" s="641"/>
      <c r="J54" s="643"/>
      <c r="K54" s="710">
        <v>2904.31</v>
      </c>
      <c r="L54" s="612">
        <f>'통장내역(환율표)'!$D$154</f>
        <v>7.1452847549437903</v>
      </c>
      <c r="M54" s="689">
        <f t="shared" si="5"/>
        <v>406.46525640430508</v>
      </c>
      <c r="N54" s="685">
        <f t="shared" si="7"/>
        <v>144076.16999999998</v>
      </c>
      <c r="O54" s="686">
        <f t="shared" si="8"/>
        <v>20166.446729168096</v>
      </c>
      <c r="P54" s="680" t="s">
        <v>1129</v>
      </c>
      <c r="Q54" s="613" t="s">
        <v>1130</v>
      </c>
      <c r="R54" s="712" t="s">
        <v>1122</v>
      </c>
      <c r="S54" s="595">
        <f t="shared" si="6"/>
        <v>20166.44672916811</v>
      </c>
    </row>
    <row r="55" spans="2:19" ht="11.25" customHeight="1">
      <c r="B55" s="639">
        <v>45312</v>
      </c>
      <c r="C55" s="644" t="s">
        <v>899</v>
      </c>
      <c r="D55" s="640"/>
      <c r="E55" s="640">
        <v>17</v>
      </c>
      <c r="F55" s="640" t="s">
        <v>107</v>
      </c>
      <c r="G55" s="640"/>
      <c r="H55" s="642"/>
      <c r="I55" s="641"/>
      <c r="J55" s="643"/>
      <c r="K55" s="710">
        <v>300</v>
      </c>
      <c r="L55" s="612">
        <f>'통장내역(환율표)'!$D$154</f>
        <v>7.1452847549437903</v>
      </c>
      <c r="M55" s="689">
        <f t="shared" si="5"/>
        <v>41.985730490647185</v>
      </c>
      <c r="N55" s="685">
        <f t="shared" si="7"/>
        <v>143776.16999999998</v>
      </c>
      <c r="O55" s="686">
        <f t="shared" si="8"/>
        <v>20124.460998677449</v>
      </c>
      <c r="P55" s="680" t="s">
        <v>1129</v>
      </c>
      <c r="Q55" s="613" t="s">
        <v>1130</v>
      </c>
      <c r="R55" s="712" t="s">
        <v>1122</v>
      </c>
      <c r="S55" s="595">
        <f t="shared" si="6"/>
        <v>20124.460998677463</v>
      </c>
    </row>
    <row r="56" spans="2:19" ht="10.9" customHeight="1">
      <c r="B56" s="639">
        <v>45312</v>
      </c>
      <c r="C56" s="644" t="s">
        <v>992</v>
      </c>
      <c r="D56" s="640"/>
      <c r="E56" s="640">
        <v>17</v>
      </c>
      <c r="F56" s="640" t="s">
        <v>107</v>
      </c>
      <c r="G56" s="640"/>
      <c r="H56" s="642"/>
      <c r="I56" s="641"/>
      <c r="J56" s="643"/>
      <c r="K56" s="710">
        <v>900</v>
      </c>
      <c r="L56" s="612">
        <f>'통장내역(환율표)'!$D$154</f>
        <v>7.1452847549437903</v>
      </c>
      <c r="M56" s="689">
        <f t="shared" si="5"/>
        <v>125.95719147194156</v>
      </c>
      <c r="N56" s="685">
        <f t="shared" si="7"/>
        <v>142876.16999999998</v>
      </c>
      <c r="O56" s="686">
        <f t="shared" si="8"/>
        <v>19998.503807205507</v>
      </c>
      <c r="P56" s="680" t="s">
        <v>1129</v>
      </c>
      <c r="Q56" s="613" t="s">
        <v>1130</v>
      </c>
      <c r="R56" s="712" t="s">
        <v>1122</v>
      </c>
      <c r="S56" s="595">
        <f t="shared" si="6"/>
        <v>19998.503807205521</v>
      </c>
    </row>
    <row r="57" spans="2:19" ht="11.25" customHeight="1">
      <c r="B57" s="639">
        <v>45312</v>
      </c>
      <c r="C57" s="644" t="s">
        <v>898</v>
      </c>
      <c r="D57" s="640"/>
      <c r="E57" s="640">
        <v>17</v>
      </c>
      <c r="F57" s="640" t="s">
        <v>107</v>
      </c>
      <c r="G57" s="640"/>
      <c r="H57" s="642"/>
      <c r="I57" s="641"/>
      <c r="J57" s="643"/>
      <c r="K57" s="711">
        <v>25000</v>
      </c>
      <c r="L57" s="612">
        <f>'통장내역(환율표)'!$D$154</f>
        <v>7.1452847549437903</v>
      </c>
      <c r="M57" s="689">
        <f t="shared" si="5"/>
        <v>3498.8108742205986</v>
      </c>
      <c r="N57" s="685">
        <f t="shared" si="7"/>
        <v>117876.16999999998</v>
      </c>
      <c r="O57" s="686">
        <f t="shared" si="8"/>
        <v>16499.692932984908</v>
      </c>
      <c r="P57" s="680" t="s">
        <v>1129</v>
      </c>
      <c r="Q57" s="613" t="s">
        <v>1130</v>
      </c>
      <c r="R57" s="670" t="s">
        <v>1123</v>
      </c>
      <c r="S57" s="595">
        <f t="shared" si="6"/>
        <v>16499.692932984923</v>
      </c>
    </row>
    <row r="58" spans="2:19" ht="11.25" customHeight="1">
      <c r="B58" s="639">
        <v>45312</v>
      </c>
      <c r="C58" s="644" t="s">
        <v>1118</v>
      </c>
      <c r="D58" s="640"/>
      <c r="E58" s="640">
        <v>17</v>
      </c>
      <c r="F58" s="640" t="s">
        <v>107</v>
      </c>
      <c r="G58" s="640"/>
      <c r="H58" s="642"/>
      <c r="I58" s="641"/>
      <c r="J58" s="643"/>
      <c r="K58" s="711">
        <v>10000</v>
      </c>
      <c r="L58" s="612">
        <f>'통장내역(환율표)'!$D$154</f>
        <v>7.1452847549437903</v>
      </c>
      <c r="M58" s="689">
        <f t="shared" si="5"/>
        <v>1399.5243496882395</v>
      </c>
      <c r="N58" s="685">
        <f t="shared" si="7"/>
        <v>107876.16999999998</v>
      </c>
      <c r="O58" s="686">
        <f t="shared" si="8"/>
        <v>15100.168583296669</v>
      </c>
      <c r="P58" s="680" t="s">
        <v>1129</v>
      </c>
      <c r="Q58" s="613" t="s">
        <v>1130</v>
      </c>
      <c r="R58" s="670" t="s">
        <v>1123</v>
      </c>
      <c r="S58" s="595">
        <f t="shared" si="6"/>
        <v>15100.168583296683</v>
      </c>
    </row>
    <row r="59" spans="2:19" ht="11.25" customHeight="1">
      <c r="B59" s="639">
        <v>45312</v>
      </c>
      <c r="C59" s="644" t="s">
        <v>948</v>
      </c>
      <c r="D59" s="640"/>
      <c r="E59" s="640">
        <v>17</v>
      </c>
      <c r="F59" s="640" t="s">
        <v>107</v>
      </c>
      <c r="G59" s="640"/>
      <c r="H59" s="642"/>
      <c r="I59" s="641"/>
      <c r="J59" s="643"/>
      <c r="K59" s="710">
        <v>6672.19</v>
      </c>
      <c r="L59" s="612">
        <f>'통장내역(환율표)'!$D$154</f>
        <v>7.1452847549437903</v>
      </c>
      <c r="M59" s="689">
        <f t="shared" ref="M59:M90" si="9">K59/L59</f>
        <v>933.78923707463741</v>
      </c>
      <c r="N59" s="685">
        <f t="shared" si="7"/>
        <v>101203.97999999998</v>
      </c>
      <c r="O59" s="686">
        <f t="shared" si="8"/>
        <v>14166.379346222031</v>
      </c>
      <c r="P59" s="680" t="s">
        <v>1129</v>
      </c>
      <c r="Q59" s="613" t="s">
        <v>1130</v>
      </c>
      <c r="R59" s="670" t="s">
        <v>1123</v>
      </c>
      <c r="S59" s="595">
        <f t="shared" si="6"/>
        <v>14166.379346222046</v>
      </c>
    </row>
    <row r="60" spans="2:19" ht="11.25" customHeight="1">
      <c r="B60" s="639">
        <v>45312</v>
      </c>
      <c r="C60" s="644" t="s">
        <v>899</v>
      </c>
      <c r="D60" s="640"/>
      <c r="E60" s="640">
        <v>17</v>
      </c>
      <c r="F60" s="640" t="s">
        <v>107</v>
      </c>
      <c r="G60" s="640"/>
      <c r="H60" s="642"/>
      <c r="I60" s="641"/>
      <c r="J60" s="643"/>
      <c r="K60" s="710">
        <v>300</v>
      </c>
      <c r="L60" s="612">
        <f>'통장내역(환율표)'!$D$154</f>
        <v>7.1452847549437903</v>
      </c>
      <c r="M60" s="689">
        <f t="shared" si="9"/>
        <v>41.985730490647185</v>
      </c>
      <c r="N60" s="685">
        <f t="shared" si="7"/>
        <v>100903.97999999998</v>
      </c>
      <c r="O60" s="686">
        <f t="shared" si="8"/>
        <v>14124.393615731384</v>
      </c>
      <c r="P60" s="680" t="s">
        <v>1129</v>
      </c>
      <c r="Q60" s="613" t="s">
        <v>1130</v>
      </c>
      <c r="R60" s="670" t="s">
        <v>1123</v>
      </c>
      <c r="S60" s="595">
        <f t="shared" si="6"/>
        <v>14124.393615731398</v>
      </c>
    </row>
    <row r="61" spans="2:19" ht="11.25" customHeight="1">
      <c r="B61" s="639">
        <v>45312</v>
      </c>
      <c r="C61" s="644" t="s">
        <v>992</v>
      </c>
      <c r="D61" s="640"/>
      <c r="E61" s="640">
        <v>17</v>
      </c>
      <c r="F61" s="640" t="s">
        <v>107</v>
      </c>
      <c r="G61" s="640"/>
      <c r="H61" s="642"/>
      <c r="I61" s="641"/>
      <c r="J61" s="643"/>
      <c r="K61" s="710">
        <v>300</v>
      </c>
      <c r="L61" s="612">
        <f>'통장내역(환율표)'!$D$154</f>
        <v>7.1452847549437903</v>
      </c>
      <c r="M61" s="689">
        <f t="shared" si="9"/>
        <v>41.985730490647185</v>
      </c>
      <c r="N61" s="685">
        <f t="shared" si="7"/>
        <v>100603.97999999998</v>
      </c>
      <c r="O61" s="686">
        <f t="shared" si="8"/>
        <v>14082.407885240737</v>
      </c>
      <c r="P61" s="680" t="s">
        <v>1129</v>
      </c>
      <c r="Q61" s="613" t="s">
        <v>1130</v>
      </c>
      <c r="R61" s="670" t="s">
        <v>1123</v>
      </c>
      <c r="S61" s="595">
        <f t="shared" si="6"/>
        <v>14082.407885240751</v>
      </c>
    </row>
    <row r="62" spans="2:19" ht="11.25" customHeight="1">
      <c r="B62" s="639">
        <v>45312</v>
      </c>
      <c r="C62" s="644" t="s">
        <v>445</v>
      </c>
      <c r="D62" s="640"/>
      <c r="E62" s="640">
        <v>18</v>
      </c>
      <c r="F62" s="640" t="s">
        <v>107</v>
      </c>
      <c r="G62" s="640"/>
      <c r="H62" s="642"/>
      <c r="I62" s="641"/>
      <c r="J62" s="643"/>
      <c r="K62" s="675">
        <v>12</v>
      </c>
      <c r="L62" s="612">
        <f>'통장내역(환율표)'!$D$154</f>
        <v>7.1452847549437903</v>
      </c>
      <c r="M62" s="689">
        <f t="shared" si="9"/>
        <v>1.6794292196258873</v>
      </c>
      <c r="N62" s="685">
        <f t="shared" si="7"/>
        <v>100591.97999999998</v>
      </c>
      <c r="O62" s="686">
        <f t="shared" si="8"/>
        <v>14080.72845602111</v>
      </c>
      <c r="P62" s="680" t="s">
        <v>1129</v>
      </c>
      <c r="Q62" s="613" t="s">
        <v>1130</v>
      </c>
      <c r="R62" s="713"/>
      <c r="S62" s="595">
        <f t="shared" si="6"/>
        <v>14080.728456021125</v>
      </c>
    </row>
    <row r="63" spans="2:19" ht="11.25" hidden="1" customHeight="1">
      <c r="B63" s="639">
        <v>45312</v>
      </c>
      <c r="C63" s="671" t="s">
        <v>1005</v>
      </c>
      <c r="D63" s="640"/>
      <c r="E63" s="640">
        <v>19</v>
      </c>
      <c r="F63" s="640" t="s">
        <v>146</v>
      </c>
      <c r="G63" s="640" t="s">
        <v>147</v>
      </c>
      <c r="H63" s="642"/>
      <c r="I63" s="641"/>
      <c r="J63" s="643"/>
      <c r="K63" s="675">
        <v>1783.3</v>
      </c>
      <c r="L63" s="612">
        <f>'통장내역(환율표)'!$D$154</f>
        <v>7.1452847549437903</v>
      </c>
      <c r="M63" s="689">
        <f t="shared" si="9"/>
        <v>249.57717727990374</v>
      </c>
      <c r="N63" s="685">
        <f t="shared" si="7"/>
        <v>98808.679999999978</v>
      </c>
      <c r="O63" s="686">
        <f t="shared" si="8"/>
        <v>13831.151278741207</v>
      </c>
      <c r="P63" s="680" t="s">
        <v>1129</v>
      </c>
      <c r="Q63" s="613" t="s">
        <v>1130</v>
      </c>
      <c r="R63" s="713"/>
      <c r="S63" s="595">
        <f t="shared" si="6"/>
        <v>13831.151278741221</v>
      </c>
    </row>
    <row r="64" spans="2:19" ht="11.25" hidden="1" customHeight="1">
      <c r="B64" s="639">
        <v>45312</v>
      </c>
      <c r="C64" s="671" t="s">
        <v>1003</v>
      </c>
      <c r="D64" s="640"/>
      <c r="E64" s="640">
        <v>20</v>
      </c>
      <c r="F64" s="640" t="s">
        <v>146</v>
      </c>
      <c r="G64" s="640" t="s">
        <v>147</v>
      </c>
      <c r="H64" s="642"/>
      <c r="I64" s="641"/>
      <c r="J64" s="643"/>
      <c r="K64" s="675">
        <v>982</v>
      </c>
      <c r="L64" s="612">
        <f>'통장내역(환율표)'!$D$154</f>
        <v>7.1452847549437903</v>
      </c>
      <c r="M64" s="689">
        <f t="shared" si="9"/>
        <v>137.43329113938512</v>
      </c>
      <c r="N64" s="685">
        <f t="shared" si="7"/>
        <v>97826.679999999978</v>
      </c>
      <c r="O64" s="686">
        <f t="shared" si="8"/>
        <v>13693.717987601822</v>
      </c>
      <c r="P64" s="680" t="s">
        <v>1129</v>
      </c>
      <c r="Q64" s="613" t="s">
        <v>1130</v>
      </c>
      <c r="R64" s="713"/>
      <c r="S64" s="595">
        <f t="shared" si="6"/>
        <v>13693.717987601836</v>
      </c>
    </row>
    <row r="65" spans="2:20" ht="11.25" hidden="1" customHeight="1">
      <c r="B65" s="639">
        <v>45312</v>
      </c>
      <c r="C65" s="671" t="s">
        <v>1004</v>
      </c>
      <c r="D65" s="640"/>
      <c r="E65" s="640">
        <v>21</v>
      </c>
      <c r="F65" s="640" t="s">
        <v>146</v>
      </c>
      <c r="G65" s="640" t="s">
        <v>147</v>
      </c>
      <c r="H65" s="642"/>
      <c r="I65" s="641"/>
      <c r="J65" s="643"/>
      <c r="K65" s="672">
        <v>348</v>
      </c>
      <c r="L65" s="612">
        <f>'통장내역(환율표)'!$D$154</f>
        <v>7.1452847549437903</v>
      </c>
      <c r="M65" s="689">
        <f t="shared" si="9"/>
        <v>48.703447369150737</v>
      </c>
      <c r="N65" s="685">
        <f t="shared" si="7"/>
        <v>97478.679999999978</v>
      </c>
      <c r="O65" s="686">
        <f t="shared" si="8"/>
        <v>13645.014540232671</v>
      </c>
      <c r="P65" s="680" t="s">
        <v>1129</v>
      </c>
      <c r="Q65" s="613" t="s">
        <v>1130</v>
      </c>
      <c r="R65" s="713"/>
      <c r="S65" s="595">
        <f t="shared" si="6"/>
        <v>13645.014540232685</v>
      </c>
    </row>
    <row r="66" spans="2:20" ht="10.9" customHeight="1">
      <c r="B66" s="639">
        <v>45312</v>
      </c>
      <c r="C66" s="671" t="s">
        <v>250</v>
      </c>
      <c r="D66" s="640"/>
      <c r="E66" s="640">
        <v>22</v>
      </c>
      <c r="F66" s="640" t="s">
        <v>107</v>
      </c>
      <c r="G66" s="640"/>
      <c r="H66" s="642"/>
      <c r="I66" s="641"/>
      <c r="J66" s="643"/>
      <c r="K66" s="672">
        <v>3.6</v>
      </c>
      <c r="L66" s="612">
        <f>'통장내역(환율표)'!$D$154</f>
        <v>7.1452847549437903</v>
      </c>
      <c r="M66" s="689">
        <f t="shared" si="9"/>
        <v>0.50382876588776626</v>
      </c>
      <c r="N66" s="685">
        <f t="shared" si="7"/>
        <v>97475.079999999973</v>
      </c>
      <c r="O66" s="686">
        <f t="shared" si="8"/>
        <v>13644.510711466783</v>
      </c>
      <c r="P66" s="680" t="s">
        <v>1129</v>
      </c>
      <c r="Q66" s="613" t="s">
        <v>1130</v>
      </c>
      <c r="R66" s="713"/>
      <c r="S66" s="595">
        <f t="shared" si="6"/>
        <v>13644.510711466797</v>
      </c>
    </row>
    <row r="67" spans="2:20" ht="11.25" hidden="1" customHeight="1">
      <c r="B67" s="639">
        <v>45312</v>
      </c>
      <c r="C67" s="671" t="s">
        <v>1008</v>
      </c>
      <c r="D67" s="640"/>
      <c r="E67" s="640">
        <v>23</v>
      </c>
      <c r="F67" s="640" t="s">
        <v>146</v>
      </c>
      <c r="G67" s="640" t="s">
        <v>147</v>
      </c>
      <c r="H67" s="642"/>
      <c r="I67" s="641"/>
      <c r="J67" s="643"/>
      <c r="K67" s="672">
        <v>2885</v>
      </c>
      <c r="L67" s="612">
        <f>'통장내역(환율표)'!$D$154</f>
        <v>7.1452847549437903</v>
      </c>
      <c r="M67" s="689">
        <f t="shared" si="9"/>
        <v>403.76277488505713</v>
      </c>
      <c r="N67" s="685">
        <f t="shared" si="7"/>
        <v>94590.079999999973</v>
      </c>
      <c r="O67" s="686">
        <f t="shared" si="8"/>
        <v>13240.747936581725</v>
      </c>
      <c r="P67" s="680" t="s">
        <v>1129</v>
      </c>
      <c r="Q67" s="613" t="s">
        <v>1130</v>
      </c>
      <c r="R67" s="613"/>
      <c r="S67" s="595">
        <f t="shared" si="6"/>
        <v>13240.74793658174</v>
      </c>
    </row>
    <row r="68" spans="2:20" ht="11.25" hidden="1" customHeight="1">
      <c r="B68" s="639">
        <v>45312</v>
      </c>
      <c r="C68" s="671" t="s">
        <v>1006</v>
      </c>
      <c r="D68" s="640"/>
      <c r="E68" s="640">
        <v>24</v>
      </c>
      <c r="F68" s="640" t="s">
        <v>146</v>
      </c>
      <c r="G68" s="640" t="s">
        <v>147</v>
      </c>
      <c r="H68" s="642"/>
      <c r="I68" s="641"/>
      <c r="J68" s="643"/>
      <c r="K68" s="672">
        <v>1147</v>
      </c>
      <c r="L68" s="612">
        <f>'통장내역(환율표)'!$D$154</f>
        <v>7.1452847549437903</v>
      </c>
      <c r="M68" s="689">
        <f t="shared" si="9"/>
        <v>160.52544290924106</v>
      </c>
      <c r="N68" s="685">
        <f t="shared" si="7"/>
        <v>93443.079999999973</v>
      </c>
      <c r="O68" s="686">
        <f t="shared" si="8"/>
        <v>13080.222493672485</v>
      </c>
      <c r="P68" s="680" t="s">
        <v>1129</v>
      </c>
      <c r="Q68" s="613" t="s">
        <v>1130</v>
      </c>
      <c r="R68" s="613"/>
      <c r="S68" s="595">
        <f t="shared" si="6"/>
        <v>13080.2224936725</v>
      </c>
    </row>
    <row r="69" spans="2:20" ht="11.25" hidden="1" customHeight="1">
      <c r="B69" s="639">
        <v>45312</v>
      </c>
      <c r="C69" s="671" t="s">
        <v>1007</v>
      </c>
      <c r="D69" s="640"/>
      <c r="E69" s="640">
        <v>25</v>
      </c>
      <c r="F69" s="640" t="s">
        <v>146</v>
      </c>
      <c r="G69" s="640" t="s">
        <v>147</v>
      </c>
      <c r="H69" s="642"/>
      <c r="I69" s="641"/>
      <c r="J69" s="643"/>
      <c r="K69" s="672">
        <v>281</v>
      </c>
      <c r="L69" s="612">
        <f>'통장내역(환율표)'!$D$154</f>
        <v>7.1452847549437903</v>
      </c>
      <c r="M69" s="689">
        <f t="shared" si="9"/>
        <v>39.326634226239527</v>
      </c>
      <c r="N69" s="685">
        <f t="shared" si="7"/>
        <v>93162.079999999973</v>
      </c>
      <c r="O69" s="686">
        <f t="shared" si="8"/>
        <v>13040.895859446246</v>
      </c>
      <c r="P69" s="680" t="s">
        <v>1129</v>
      </c>
      <c r="Q69" s="613" t="s">
        <v>1130</v>
      </c>
      <c r="R69" s="613"/>
      <c r="S69" s="595">
        <f t="shared" si="6"/>
        <v>13040.89585944626</v>
      </c>
    </row>
    <row r="70" spans="2:20" ht="10.9" customHeight="1">
      <c r="B70" s="639">
        <v>45312</v>
      </c>
      <c r="C70" s="671" t="s">
        <v>250</v>
      </c>
      <c r="D70" s="640"/>
      <c r="E70" s="640">
        <v>26</v>
      </c>
      <c r="F70" s="640" t="s">
        <v>107</v>
      </c>
      <c r="G70" s="640"/>
      <c r="H70" s="642"/>
      <c r="I70" s="641"/>
      <c r="J70" s="643"/>
      <c r="K70" s="672">
        <v>3.6</v>
      </c>
      <c r="L70" s="612">
        <f>'통장내역(환율표)'!$D$154</f>
        <v>7.1452847549437903</v>
      </c>
      <c r="M70" s="689">
        <f t="shared" si="9"/>
        <v>0.50382876588776626</v>
      </c>
      <c r="N70" s="685">
        <f t="shared" si="7"/>
        <v>93158.479999999967</v>
      </c>
      <c r="O70" s="686">
        <f t="shared" si="8"/>
        <v>13040.392030680357</v>
      </c>
      <c r="P70" s="680" t="s">
        <v>1129</v>
      </c>
      <c r="Q70" s="613" t="s">
        <v>1130</v>
      </c>
      <c r="R70" s="613"/>
      <c r="S70" s="595">
        <f t="shared" si="6"/>
        <v>13040.392030680372</v>
      </c>
    </row>
    <row r="71" spans="2:20" ht="11.25" hidden="1" customHeight="1">
      <c r="B71" s="639">
        <v>45312</v>
      </c>
      <c r="C71" s="671" t="s">
        <v>1099</v>
      </c>
      <c r="D71" s="640"/>
      <c r="E71" s="640">
        <v>27</v>
      </c>
      <c r="F71" s="640" t="s">
        <v>146</v>
      </c>
      <c r="G71" s="640" t="s">
        <v>147</v>
      </c>
      <c r="H71" s="642"/>
      <c r="I71" s="641"/>
      <c r="J71" s="643"/>
      <c r="K71" s="674">
        <v>914.11</v>
      </c>
      <c r="L71" s="612">
        <f>'통장내역(환율표)'!$D$154</f>
        <v>7.1452847549437903</v>
      </c>
      <c r="M71" s="689">
        <f t="shared" si="9"/>
        <v>127.93192032935167</v>
      </c>
      <c r="N71" s="685">
        <f t="shared" si="7"/>
        <v>92244.369999999966</v>
      </c>
      <c r="O71" s="686">
        <f t="shared" si="8"/>
        <v>12912.460110351007</v>
      </c>
      <c r="P71" s="680" t="s">
        <v>1129</v>
      </c>
      <c r="Q71" s="613" t="s">
        <v>1130</v>
      </c>
      <c r="R71" s="613"/>
      <c r="S71" s="595">
        <f t="shared" si="6"/>
        <v>12912.460110351021</v>
      </c>
    </row>
    <row r="72" spans="2:20" ht="11.25" hidden="1" customHeight="1">
      <c r="B72" s="639">
        <v>45312</v>
      </c>
      <c r="C72" s="671" t="s">
        <v>1098</v>
      </c>
      <c r="D72" s="640"/>
      <c r="E72" s="640">
        <v>28</v>
      </c>
      <c r="F72" s="640" t="s">
        <v>146</v>
      </c>
      <c r="G72" s="640" t="s">
        <v>147</v>
      </c>
      <c r="H72" s="642"/>
      <c r="I72" s="641"/>
      <c r="J72" s="643"/>
      <c r="K72" s="674">
        <v>4929</v>
      </c>
      <c r="L72" s="612">
        <f>'통장내역(환율표)'!$D$154</f>
        <v>7.1452847549437903</v>
      </c>
      <c r="M72" s="689">
        <f t="shared" si="9"/>
        <v>689.8255519613333</v>
      </c>
      <c r="N72" s="685">
        <f t="shared" si="7"/>
        <v>87315.369999999966</v>
      </c>
      <c r="O72" s="686">
        <f t="shared" si="8"/>
        <v>12222.634558389673</v>
      </c>
      <c r="P72" s="680" t="s">
        <v>1129</v>
      </c>
      <c r="Q72" s="613" t="s">
        <v>1130</v>
      </c>
      <c r="R72" s="613"/>
      <c r="S72" s="595">
        <f t="shared" si="6"/>
        <v>12222.634558389687</v>
      </c>
    </row>
    <row r="73" spans="2:20" ht="11.25" customHeight="1">
      <c r="B73" s="639">
        <v>45312</v>
      </c>
      <c r="C73" s="671" t="s">
        <v>1016</v>
      </c>
      <c r="D73" s="640"/>
      <c r="E73" s="640">
        <v>29</v>
      </c>
      <c r="F73" s="640" t="s">
        <v>107</v>
      </c>
      <c r="G73" s="640"/>
      <c r="H73" s="642"/>
      <c r="I73" s="641"/>
      <c r="J73" s="643"/>
      <c r="K73" s="674">
        <v>374.7</v>
      </c>
      <c r="L73" s="612">
        <f>'통장내역(환율표)'!$D$154</f>
        <v>7.1452847549437903</v>
      </c>
      <c r="M73" s="689">
        <f t="shared" si="9"/>
        <v>52.440177382818334</v>
      </c>
      <c r="N73" s="685">
        <f t="shared" si="7"/>
        <v>86940.669999999969</v>
      </c>
      <c r="O73" s="686">
        <f t="shared" si="8"/>
        <v>12170.194381006855</v>
      </c>
      <c r="P73" s="680" t="s">
        <v>1129</v>
      </c>
      <c r="Q73" s="613" t="s">
        <v>1130</v>
      </c>
      <c r="R73" s="613"/>
      <c r="S73" s="595">
        <f t="shared" si="6"/>
        <v>12170.19438100687</v>
      </c>
    </row>
    <row r="74" spans="2:20" ht="11.25" customHeight="1">
      <c r="B74" s="639">
        <v>45312</v>
      </c>
      <c r="C74" s="671" t="s">
        <v>1124</v>
      </c>
      <c r="D74" s="640"/>
      <c r="E74" s="640">
        <v>30</v>
      </c>
      <c r="F74" s="640" t="s">
        <v>107</v>
      </c>
      <c r="G74" s="640"/>
      <c r="H74" s="642"/>
      <c r="I74" s="641"/>
      <c r="J74" s="643"/>
      <c r="K74" s="674">
        <v>64.78</v>
      </c>
      <c r="L74" s="612">
        <f>'통장내역(환율표)'!$D$154</f>
        <v>7.1452847549437903</v>
      </c>
      <c r="M74" s="689">
        <f t="shared" si="9"/>
        <v>9.0661187372804157</v>
      </c>
      <c r="N74" s="685">
        <f t="shared" si="7"/>
        <v>86875.88999999997</v>
      </c>
      <c r="O74" s="686">
        <f t="shared" si="8"/>
        <v>12161.128262269574</v>
      </c>
      <c r="P74" s="680" t="s">
        <v>1129</v>
      </c>
      <c r="Q74" s="613" t="s">
        <v>1130</v>
      </c>
      <c r="R74" s="613"/>
      <c r="S74" s="595">
        <f t="shared" si="6"/>
        <v>12161.128262269589</v>
      </c>
    </row>
    <row r="75" spans="2:20" ht="11.25" customHeight="1">
      <c r="B75" s="639">
        <v>45312</v>
      </c>
      <c r="C75" s="671" t="s">
        <v>250</v>
      </c>
      <c r="D75" s="640"/>
      <c r="E75" s="640">
        <v>31</v>
      </c>
      <c r="F75" s="640" t="s">
        <v>107</v>
      </c>
      <c r="G75" s="640"/>
      <c r="H75" s="642"/>
      <c r="I75" s="641"/>
      <c r="J75" s="643"/>
      <c r="K75" s="674">
        <v>3.6</v>
      </c>
      <c r="L75" s="612">
        <f>'통장내역(환율표)'!$D$154</f>
        <v>7.1452847549437903</v>
      </c>
      <c r="M75" s="689">
        <f t="shared" si="9"/>
        <v>0.50382876588776626</v>
      </c>
      <c r="N75" s="685">
        <f t="shared" si="7"/>
        <v>86872.289999999964</v>
      </c>
      <c r="O75" s="686">
        <f t="shared" si="8"/>
        <v>12160.624433503686</v>
      </c>
      <c r="P75" s="680" t="s">
        <v>1129</v>
      </c>
      <c r="Q75" s="613" t="s">
        <v>1130</v>
      </c>
      <c r="R75" s="613"/>
      <c r="S75" s="595">
        <f t="shared" si="6"/>
        <v>12160.624433503701</v>
      </c>
    </row>
    <row r="76" spans="2:20" ht="11.25" hidden="1" customHeight="1">
      <c r="B76" s="639">
        <v>45312</v>
      </c>
      <c r="C76" s="644" t="s">
        <v>1125</v>
      </c>
      <c r="D76" s="640"/>
      <c r="E76" s="640">
        <v>32</v>
      </c>
      <c r="F76" s="640" t="s">
        <v>146</v>
      </c>
      <c r="G76" s="640" t="s">
        <v>147</v>
      </c>
      <c r="H76" s="642"/>
      <c r="I76" s="641"/>
      <c r="J76" s="643"/>
      <c r="K76" s="674">
        <v>2640</v>
      </c>
      <c r="L76" s="612">
        <f>'통장내역(환율표)'!$D$154</f>
        <v>7.1452847549437903</v>
      </c>
      <c r="M76" s="689">
        <f t="shared" si="9"/>
        <v>369.47442831769524</v>
      </c>
      <c r="N76" s="685">
        <f t="shared" si="7"/>
        <v>84232.289999999964</v>
      </c>
      <c r="O76" s="686">
        <f t="shared" si="8"/>
        <v>11791.150005185991</v>
      </c>
      <c r="P76" s="680" t="s">
        <v>1129</v>
      </c>
      <c r="Q76" s="613" t="s">
        <v>1130</v>
      </c>
      <c r="R76" s="613"/>
      <c r="S76" s="595">
        <f t="shared" si="6"/>
        <v>11791.150005186006</v>
      </c>
      <c r="T76" s="645"/>
    </row>
    <row r="77" spans="2:20" ht="11.25" hidden="1" customHeight="1">
      <c r="B77" s="639">
        <v>45312</v>
      </c>
      <c r="C77" s="671" t="s">
        <v>1102</v>
      </c>
      <c r="D77" s="640"/>
      <c r="E77" s="640">
        <v>33</v>
      </c>
      <c r="F77" s="640" t="s">
        <v>146</v>
      </c>
      <c r="G77" s="640" t="s">
        <v>147</v>
      </c>
      <c r="H77" s="642"/>
      <c r="I77" s="641"/>
      <c r="J77" s="643"/>
      <c r="K77" s="674">
        <v>2844.66</v>
      </c>
      <c r="L77" s="612">
        <f>'통장내역(환율표)'!$D$154</f>
        <v>7.1452847549437903</v>
      </c>
      <c r="M77" s="689">
        <f t="shared" si="9"/>
        <v>398.11709365841472</v>
      </c>
      <c r="N77" s="685">
        <f t="shared" si="7"/>
        <v>81387.629999999961</v>
      </c>
      <c r="O77" s="686">
        <f t="shared" si="8"/>
        <v>11393.032911527576</v>
      </c>
      <c r="P77" s="680" t="s">
        <v>1129</v>
      </c>
      <c r="Q77" s="613" t="s">
        <v>1130</v>
      </c>
      <c r="R77" s="613"/>
      <c r="S77" s="595">
        <f t="shared" si="6"/>
        <v>11393.032911527591</v>
      </c>
      <c r="T77" s="645"/>
    </row>
    <row r="78" spans="2:20" ht="11.25" customHeight="1">
      <c r="B78" s="639">
        <v>45312</v>
      </c>
      <c r="C78" s="671" t="s">
        <v>1101</v>
      </c>
      <c r="D78" s="640"/>
      <c r="E78" s="640">
        <v>34</v>
      </c>
      <c r="F78" s="640" t="s">
        <v>107</v>
      </c>
      <c r="G78" s="640"/>
      <c r="H78" s="642"/>
      <c r="I78" s="641"/>
      <c r="J78" s="643"/>
      <c r="K78" s="674">
        <v>331.89</v>
      </c>
      <c r="L78" s="612">
        <f>'통장내역(환율표)'!$D$154</f>
        <v>7.1452847549437903</v>
      </c>
      <c r="M78" s="689">
        <f t="shared" si="9"/>
        <v>46.448813641802978</v>
      </c>
      <c r="N78" s="685">
        <f t="shared" si="7"/>
        <v>81055.739999999962</v>
      </c>
      <c r="O78" s="686">
        <f t="shared" si="8"/>
        <v>11346.584097885774</v>
      </c>
      <c r="P78" s="680" t="s">
        <v>1129</v>
      </c>
      <c r="Q78" s="613" t="s">
        <v>1130</v>
      </c>
      <c r="R78" s="613"/>
      <c r="S78" s="595">
        <f t="shared" si="6"/>
        <v>11346.584097885789</v>
      </c>
      <c r="T78" s="645"/>
    </row>
    <row r="79" spans="2:20" ht="11.25" hidden="1" customHeight="1">
      <c r="B79" s="639">
        <v>45312</v>
      </c>
      <c r="C79" s="671" t="s">
        <v>1100</v>
      </c>
      <c r="D79" s="640"/>
      <c r="E79" s="640">
        <v>35</v>
      </c>
      <c r="F79" s="640" t="s">
        <v>116</v>
      </c>
      <c r="G79" s="640" t="s">
        <v>140</v>
      </c>
      <c r="H79" s="642"/>
      <c r="I79" s="641"/>
      <c r="J79" s="643"/>
      <c r="K79" s="674">
        <v>98.5</v>
      </c>
      <c r="L79" s="612">
        <f>'통장내역(환율표)'!$D$154</f>
        <v>7.1452847549437903</v>
      </c>
      <c r="M79" s="689">
        <f t="shared" si="9"/>
        <v>13.785314844429159</v>
      </c>
      <c r="N79" s="685">
        <f t="shared" si="7"/>
        <v>80957.239999999962</v>
      </c>
      <c r="O79" s="686">
        <f t="shared" si="8"/>
        <v>11332.798783041346</v>
      </c>
      <c r="P79" s="680" t="s">
        <v>1129</v>
      </c>
      <c r="Q79" s="613" t="s">
        <v>1130</v>
      </c>
      <c r="R79" s="613"/>
      <c r="S79" s="595">
        <f t="shared" si="6"/>
        <v>11332.79878304136</v>
      </c>
      <c r="T79" s="645"/>
    </row>
    <row r="80" spans="2:20" ht="11.25" customHeight="1">
      <c r="B80" s="639">
        <v>45312</v>
      </c>
      <c r="C80" s="671" t="s">
        <v>250</v>
      </c>
      <c r="D80" s="640"/>
      <c r="E80" s="640">
        <v>36</v>
      </c>
      <c r="F80" s="640" t="s">
        <v>107</v>
      </c>
      <c r="G80" s="640"/>
      <c r="H80" s="642"/>
      <c r="I80" s="641"/>
      <c r="J80" s="643"/>
      <c r="K80" s="674">
        <v>3.6</v>
      </c>
      <c r="L80" s="612">
        <f>'통장내역(환율표)'!$D$154</f>
        <v>7.1452847549437903</v>
      </c>
      <c r="M80" s="689">
        <f t="shared" si="9"/>
        <v>0.50382876588776626</v>
      </c>
      <c r="N80" s="685">
        <f t="shared" si="7"/>
        <v>80953.639999999956</v>
      </c>
      <c r="O80" s="686">
        <f t="shared" si="8"/>
        <v>11332.294954275458</v>
      </c>
      <c r="P80" s="680" t="s">
        <v>1129</v>
      </c>
      <c r="Q80" s="613" t="s">
        <v>1130</v>
      </c>
      <c r="R80" s="613"/>
      <c r="S80" s="595">
        <f t="shared" si="6"/>
        <v>11332.294954275472</v>
      </c>
      <c r="T80" s="645"/>
    </row>
    <row r="81" spans="2:20" ht="11.25" hidden="1" customHeight="1">
      <c r="B81" s="639">
        <v>45312</v>
      </c>
      <c r="C81" s="671" t="s">
        <v>1103</v>
      </c>
      <c r="D81" s="640"/>
      <c r="E81" s="640">
        <v>37</v>
      </c>
      <c r="F81" s="640" t="s">
        <v>146</v>
      </c>
      <c r="G81" s="640" t="s">
        <v>147</v>
      </c>
      <c r="H81" s="642"/>
      <c r="I81" s="641"/>
      <c r="J81" s="643"/>
      <c r="K81" s="674">
        <f>1640+2822+1583.46</f>
        <v>6045.46</v>
      </c>
      <c r="L81" s="612">
        <f>'통장내역(환율표)'!$D$154</f>
        <v>7.1452847549437903</v>
      </c>
      <c r="M81" s="689">
        <f t="shared" si="9"/>
        <v>846.07684750662645</v>
      </c>
      <c r="N81" s="685">
        <f t="shared" si="7"/>
        <v>74908.179999999949</v>
      </c>
      <c r="O81" s="686">
        <f t="shared" si="8"/>
        <v>10486.218106768831</v>
      </c>
      <c r="P81" s="680" t="s">
        <v>1129</v>
      </c>
      <c r="Q81" s="613" t="s">
        <v>1130</v>
      </c>
      <c r="R81" s="613"/>
      <c r="S81" s="595">
        <f t="shared" si="6"/>
        <v>10486.218106768845</v>
      </c>
      <c r="T81" s="645"/>
    </row>
    <row r="82" spans="2:20" ht="11.25" hidden="1" customHeight="1">
      <c r="B82" s="639">
        <v>45312</v>
      </c>
      <c r="C82" s="671" t="s">
        <v>1024</v>
      </c>
      <c r="D82" s="640"/>
      <c r="E82" s="640">
        <v>38</v>
      </c>
      <c r="F82" s="640" t="s">
        <v>125</v>
      </c>
      <c r="G82" s="640" t="s">
        <v>145</v>
      </c>
      <c r="H82" s="642"/>
      <c r="I82" s="641"/>
      <c r="J82" s="643"/>
      <c r="K82" s="674">
        <f>11346.5-5568</f>
        <v>5778.5</v>
      </c>
      <c r="L82" s="612">
        <f>'통장내역(환율표)'!$D$154</f>
        <v>7.1452847549437903</v>
      </c>
      <c r="M82" s="689">
        <f t="shared" si="9"/>
        <v>808.7151454673492</v>
      </c>
      <c r="N82" s="685">
        <f t="shared" si="7"/>
        <v>69129.679999999949</v>
      </c>
      <c r="O82" s="686">
        <f t="shared" si="8"/>
        <v>9677.5029613014813</v>
      </c>
      <c r="P82" s="680" t="s">
        <v>1129</v>
      </c>
      <c r="Q82" s="613" t="s">
        <v>1130</v>
      </c>
      <c r="R82" s="613" t="s">
        <v>1134</v>
      </c>
      <c r="S82" s="595">
        <f t="shared" si="6"/>
        <v>9677.5029613014958</v>
      </c>
      <c r="T82" s="645"/>
    </row>
    <row r="83" spans="2:20" ht="11.25" hidden="1" customHeight="1">
      <c r="B83" s="639">
        <v>45312</v>
      </c>
      <c r="C83" s="671" t="s">
        <v>1104</v>
      </c>
      <c r="D83" s="640"/>
      <c r="E83" s="640">
        <v>39</v>
      </c>
      <c r="F83" s="640" t="s">
        <v>146</v>
      </c>
      <c r="G83" s="640" t="s">
        <v>147</v>
      </c>
      <c r="H83" s="642"/>
      <c r="I83" s="641"/>
      <c r="J83" s="643"/>
      <c r="K83" s="674">
        <v>843.52</v>
      </c>
      <c r="L83" s="612">
        <f>'통장내역(환율표)'!$D$154</f>
        <v>7.1452847549437903</v>
      </c>
      <c r="M83" s="689">
        <f t="shared" si="9"/>
        <v>118.05267794490237</v>
      </c>
      <c r="N83" s="685">
        <f t="shared" ref="N83:N95" si="10">N82+H83-K83</f>
        <v>68286.159999999945</v>
      </c>
      <c r="O83" s="686">
        <f t="shared" ref="O83:O95" si="11">O82+J83-M83</f>
        <v>9559.4502833565784</v>
      </c>
      <c r="P83" s="680" t="s">
        <v>1129</v>
      </c>
      <c r="Q83" s="613" t="s">
        <v>1130</v>
      </c>
      <c r="R83" s="613"/>
      <c r="S83" s="595">
        <f t="shared" si="6"/>
        <v>9559.450283356593</v>
      </c>
      <c r="T83" s="645"/>
    </row>
    <row r="84" spans="2:20" ht="11.25" customHeight="1">
      <c r="B84" s="639">
        <v>45312</v>
      </c>
      <c r="C84" s="671" t="s">
        <v>1126</v>
      </c>
      <c r="D84" s="640"/>
      <c r="E84" s="640">
        <v>40</v>
      </c>
      <c r="F84" s="640" t="s">
        <v>107</v>
      </c>
      <c r="G84" s="640"/>
      <c r="H84" s="642"/>
      <c r="I84" s="641"/>
      <c r="J84" s="643"/>
      <c r="K84" s="674">
        <f>139.9-0.6</f>
        <v>139.30000000000001</v>
      </c>
      <c r="L84" s="612">
        <f>'통장내역(환율표)'!$D$154</f>
        <v>7.1452847549437903</v>
      </c>
      <c r="M84" s="689">
        <f t="shared" si="9"/>
        <v>19.495374191157179</v>
      </c>
      <c r="N84" s="685">
        <f t="shared" si="10"/>
        <v>68146.859999999942</v>
      </c>
      <c r="O84" s="686">
        <f t="shared" si="11"/>
        <v>9539.9549091654208</v>
      </c>
      <c r="P84" s="680" t="s">
        <v>1129</v>
      </c>
      <c r="Q84" s="613" t="s">
        <v>1130</v>
      </c>
      <c r="R84" s="613" t="s">
        <v>1127</v>
      </c>
      <c r="S84" s="595">
        <f t="shared" si="6"/>
        <v>9539.9549091654353</v>
      </c>
      <c r="T84" s="645"/>
    </row>
    <row r="85" spans="2:20" ht="11.25" customHeight="1">
      <c r="B85" s="639">
        <v>45312</v>
      </c>
      <c r="C85" s="671" t="s">
        <v>250</v>
      </c>
      <c r="D85" s="640"/>
      <c r="E85" s="640">
        <v>41</v>
      </c>
      <c r="F85" s="640" t="s">
        <v>107</v>
      </c>
      <c r="G85" s="640"/>
      <c r="H85" s="642"/>
      <c r="I85" s="641"/>
      <c r="J85" s="643"/>
      <c r="K85" s="674">
        <v>7.2</v>
      </c>
      <c r="L85" s="612">
        <f>'통장내역(환율표)'!$D$154</f>
        <v>7.1452847549437903</v>
      </c>
      <c r="M85" s="689">
        <f t="shared" si="9"/>
        <v>1.0076575317755325</v>
      </c>
      <c r="N85" s="685">
        <f t="shared" si="10"/>
        <v>68139.659999999945</v>
      </c>
      <c r="O85" s="686">
        <f t="shared" si="11"/>
        <v>9538.9472516336446</v>
      </c>
      <c r="P85" s="680" t="s">
        <v>1129</v>
      </c>
      <c r="Q85" s="613" t="s">
        <v>1130</v>
      </c>
      <c r="R85" s="613"/>
      <c r="S85" s="595">
        <f t="shared" si="6"/>
        <v>9538.9472516336591</v>
      </c>
      <c r="T85" s="645"/>
    </row>
    <row r="86" spans="2:20" ht="11.25" hidden="1" customHeight="1">
      <c r="B86" s="639">
        <v>45312</v>
      </c>
      <c r="C86" s="671" t="s">
        <v>1105</v>
      </c>
      <c r="D86" s="640"/>
      <c r="E86" s="640">
        <v>42</v>
      </c>
      <c r="F86" s="640" t="s">
        <v>146</v>
      </c>
      <c r="G86" s="640" t="s">
        <v>147</v>
      </c>
      <c r="H86" s="642"/>
      <c r="I86" s="641"/>
      <c r="J86" s="643"/>
      <c r="K86" s="674">
        <v>4523.26</v>
      </c>
      <c r="L86" s="612">
        <f>'통장내역(환율표)'!$D$154</f>
        <v>7.1452847549437903</v>
      </c>
      <c r="M86" s="689">
        <f t="shared" si="9"/>
        <v>633.04125099708267</v>
      </c>
      <c r="N86" s="685">
        <f t="shared" si="10"/>
        <v>63616.399999999943</v>
      </c>
      <c r="O86" s="686">
        <f t="shared" si="11"/>
        <v>8905.9060006365617</v>
      </c>
      <c r="P86" s="680" t="s">
        <v>1129</v>
      </c>
      <c r="Q86" s="613" t="s">
        <v>1130</v>
      </c>
      <c r="R86" s="613"/>
      <c r="S86" s="595">
        <f t="shared" si="6"/>
        <v>8905.9060006365762</v>
      </c>
      <c r="T86" s="645"/>
    </row>
    <row r="87" spans="2:20" ht="11.25" hidden="1" customHeight="1">
      <c r="B87" s="639">
        <v>45312</v>
      </c>
      <c r="C87" s="671" t="s">
        <v>807</v>
      </c>
      <c r="D87" s="640"/>
      <c r="E87" s="640">
        <v>43</v>
      </c>
      <c r="F87" s="640" t="s">
        <v>125</v>
      </c>
      <c r="G87" s="640" t="s">
        <v>145</v>
      </c>
      <c r="H87" s="642"/>
      <c r="I87" s="641"/>
      <c r="J87" s="643"/>
      <c r="K87" s="674">
        <v>8316.77</v>
      </c>
      <c r="L87" s="612">
        <f>'통장내역(환율표)'!$D$154</f>
        <v>7.1452847549437903</v>
      </c>
      <c r="M87" s="689">
        <f t="shared" si="9"/>
        <v>1163.952212575666</v>
      </c>
      <c r="N87" s="685">
        <f t="shared" si="10"/>
        <v>55299.629999999946</v>
      </c>
      <c r="O87" s="686">
        <f t="shared" si="11"/>
        <v>7741.9537880608959</v>
      </c>
      <c r="P87" s="680" t="s">
        <v>1129</v>
      </c>
      <c r="Q87" s="613" t="s">
        <v>1130</v>
      </c>
      <c r="R87" s="613"/>
      <c r="S87" s="595">
        <f t="shared" si="6"/>
        <v>7741.9537880609105</v>
      </c>
      <c r="T87" s="645"/>
    </row>
    <row r="88" spans="2:20" ht="11.25" hidden="1" customHeight="1">
      <c r="B88" s="639">
        <v>45312</v>
      </c>
      <c r="C88" s="671" t="s">
        <v>1106</v>
      </c>
      <c r="D88" s="640"/>
      <c r="E88" s="640">
        <v>44</v>
      </c>
      <c r="F88" s="640" t="s">
        <v>116</v>
      </c>
      <c r="G88" s="640" t="s">
        <v>140</v>
      </c>
      <c r="H88" s="642"/>
      <c r="I88" s="641"/>
      <c r="J88" s="643"/>
      <c r="K88" s="674">
        <v>300</v>
      </c>
      <c r="L88" s="612">
        <f>'통장내역(환율표)'!$D$154</f>
        <v>7.1452847549437903</v>
      </c>
      <c r="M88" s="689">
        <f t="shared" si="9"/>
        <v>41.985730490647185</v>
      </c>
      <c r="N88" s="685">
        <f t="shared" si="10"/>
        <v>54999.629999999946</v>
      </c>
      <c r="O88" s="686">
        <f t="shared" si="11"/>
        <v>7699.9680575702487</v>
      </c>
      <c r="P88" s="680" t="s">
        <v>1129</v>
      </c>
      <c r="Q88" s="613" t="s">
        <v>1130</v>
      </c>
      <c r="R88" s="613"/>
      <c r="S88" s="595">
        <f t="shared" si="6"/>
        <v>7699.9680575702632</v>
      </c>
      <c r="T88" s="645"/>
    </row>
    <row r="89" spans="2:20" ht="11.25" customHeight="1">
      <c r="B89" s="639">
        <v>45312</v>
      </c>
      <c r="C89" s="671" t="s">
        <v>250</v>
      </c>
      <c r="D89" s="640"/>
      <c r="E89" s="640">
        <v>45</v>
      </c>
      <c r="F89" s="640" t="s">
        <v>107</v>
      </c>
      <c r="G89" s="640"/>
      <c r="H89" s="642"/>
      <c r="I89" s="641"/>
      <c r="J89" s="643"/>
      <c r="K89" s="674">
        <v>7.2</v>
      </c>
      <c r="L89" s="612">
        <f>'통장내역(환율표)'!$D$154</f>
        <v>7.1452847549437903</v>
      </c>
      <c r="M89" s="689">
        <f t="shared" si="9"/>
        <v>1.0076575317755325</v>
      </c>
      <c r="N89" s="685">
        <f t="shared" si="10"/>
        <v>54992.429999999949</v>
      </c>
      <c r="O89" s="686">
        <f t="shared" si="11"/>
        <v>7698.9604000384734</v>
      </c>
      <c r="P89" s="680" t="s">
        <v>1129</v>
      </c>
      <c r="Q89" s="613" t="s">
        <v>1130</v>
      </c>
      <c r="R89" s="613"/>
      <c r="S89" s="595">
        <f t="shared" si="6"/>
        <v>7698.9604000384879</v>
      </c>
      <c r="T89" s="645"/>
    </row>
    <row r="90" spans="2:20" ht="11.25" hidden="1" customHeight="1">
      <c r="B90" s="639">
        <v>45312</v>
      </c>
      <c r="C90" s="671" t="s">
        <v>1107</v>
      </c>
      <c r="D90" s="640"/>
      <c r="E90" s="640">
        <v>46</v>
      </c>
      <c r="F90" s="640" t="s">
        <v>146</v>
      </c>
      <c r="G90" s="640" t="s">
        <v>147</v>
      </c>
      <c r="H90" s="642"/>
      <c r="I90" s="641"/>
      <c r="J90" s="643"/>
      <c r="K90" s="672">
        <v>5324.14</v>
      </c>
      <c r="L90" s="612">
        <f>'통장내역(환율표)'!$D$154</f>
        <v>7.1452847549437903</v>
      </c>
      <c r="M90" s="689">
        <f t="shared" si="9"/>
        <v>745.12635711491441</v>
      </c>
      <c r="N90" s="685">
        <f t="shared" si="10"/>
        <v>49668.28999999995</v>
      </c>
      <c r="O90" s="686">
        <f t="shared" si="11"/>
        <v>6953.8340429235586</v>
      </c>
      <c r="P90" s="680" t="s">
        <v>1129</v>
      </c>
      <c r="Q90" s="613" t="s">
        <v>1130</v>
      </c>
      <c r="R90" s="613"/>
      <c r="S90" s="595">
        <f t="shared" si="6"/>
        <v>6953.8340429235732</v>
      </c>
      <c r="T90" s="645"/>
    </row>
    <row r="91" spans="2:20" ht="11.25" customHeight="1">
      <c r="B91" s="639">
        <v>45312</v>
      </c>
      <c r="C91" s="671" t="s">
        <v>1108</v>
      </c>
      <c r="D91" s="640"/>
      <c r="E91" s="640">
        <v>47</v>
      </c>
      <c r="F91" s="640" t="s">
        <v>107</v>
      </c>
      <c r="G91" s="640"/>
      <c r="H91" s="642"/>
      <c r="I91" s="641"/>
      <c r="J91" s="643"/>
      <c r="K91" s="672">
        <v>404.8</v>
      </c>
      <c r="L91" s="612">
        <f>'통장내역(환율표)'!$D$154</f>
        <v>7.1452847549437903</v>
      </c>
      <c r="M91" s="689">
        <f>K91/L91</f>
        <v>56.65274567537994</v>
      </c>
      <c r="N91" s="685">
        <f t="shared" si="10"/>
        <v>49263.489999999947</v>
      </c>
      <c r="O91" s="686">
        <f t="shared" si="11"/>
        <v>6897.1812972481785</v>
      </c>
      <c r="P91" s="680" t="s">
        <v>1129</v>
      </c>
      <c r="Q91" s="613" t="s">
        <v>1130</v>
      </c>
      <c r="R91" s="613"/>
      <c r="S91" s="595">
        <f t="shared" si="6"/>
        <v>6897.181297248193</v>
      </c>
      <c r="T91" s="645"/>
    </row>
    <row r="92" spans="2:20" ht="11.25" hidden="1" customHeight="1">
      <c r="B92" s="639">
        <v>45312</v>
      </c>
      <c r="C92" s="671" t="s">
        <v>1109</v>
      </c>
      <c r="D92" s="640"/>
      <c r="E92" s="640">
        <v>48</v>
      </c>
      <c r="F92" s="640" t="s">
        <v>116</v>
      </c>
      <c r="G92" s="640" t="s">
        <v>140</v>
      </c>
      <c r="H92" s="642"/>
      <c r="I92" s="641"/>
      <c r="J92" s="643"/>
      <c r="K92" s="672">
        <v>399</v>
      </c>
      <c r="L92" s="612">
        <f>'통장내역(환율표)'!$D$154</f>
        <v>7.1452847549437903</v>
      </c>
      <c r="M92" s="689">
        <f>K92/L92</f>
        <v>55.841021552560754</v>
      </c>
      <c r="N92" s="685">
        <f t="shared" si="10"/>
        <v>48864.489999999947</v>
      </c>
      <c r="O92" s="686">
        <f t="shared" si="11"/>
        <v>6841.3402756956175</v>
      </c>
      <c r="P92" s="680" t="s">
        <v>1129</v>
      </c>
      <c r="Q92" s="613" t="s">
        <v>1130</v>
      </c>
      <c r="R92" s="613"/>
      <c r="S92" s="595">
        <f t="shared" si="6"/>
        <v>6841.340275695632</v>
      </c>
      <c r="T92" s="645"/>
    </row>
    <row r="93" spans="2:20" ht="11.25" hidden="1" customHeight="1">
      <c r="B93" s="639">
        <v>45312</v>
      </c>
      <c r="C93" s="671" t="s">
        <v>845</v>
      </c>
      <c r="D93" s="640"/>
      <c r="E93" s="640">
        <v>49</v>
      </c>
      <c r="F93" s="640" t="s">
        <v>125</v>
      </c>
      <c r="G93" s="640" t="s">
        <v>145</v>
      </c>
      <c r="H93" s="642"/>
      <c r="I93" s="641"/>
      <c r="J93" s="643"/>
      <c r="K93" s="672">
        <f>8968.5-6000</f>
        <v>2968.5</v>
      </c>
      <c r="L93" s="612">
        <f>'통장내역(환율표)'!$D$154</f>
        <v>7.1452847549437903</v>
      </c>
      <c r="M93" s="689">
        <f>K93/L93</f>
        <v>415.44880320495389</v>
      </c>
      <c r="N93" s="685">
        <f t="shared" si="10"/>
        <v>45895.989999999947</v>
      </c>
      <c r="O93" s="686">
        <f t="shared" si="11"/>
        <v>6425.8914724906635</v>
      </c>
      <c r="P93" s="680" t="s">
        <v>1129</v>
      </c>
      <c r="Q93" s="613" t="s">
        <v>1130</v>
      </c>
      <c r="R93" s="613" t="s">
        <v>1135</v>
      </c>
      <c r="S93" s="595">
        <f>S92-M93</f>
        <v>6425.8914724906781</v>
      </c>
      <c r="T93" s="645"/>
    </row>
    <row r="94" spans="2:20" ht="11.25" hidden="1" customHeight="1">
      <c r="B94" s="639">
        <v>45312</v>
      </c>
      <c r="C94" s="671" t="s">
        <v>844</v>
      </c>
      <c r="D94" s="640"/>
      <c r="E94" s="640">
        <v>50</v>
      </c>
      <c r="F94" s="640" t="s">
        <v>146</v>
      </c>
      <c r="G94" s="640" t="s">
        <v>147</v>
      </c>
      <c r="H94" s="642"/>
      <c r="I94" s="641"/>
      <c r="J94" s="643"/>
      <c r="K94" s="672">
        <v>22</v>
      </c>
      <c r="L94" s="612">
        <f>'통장내역(환율표)'!$D$154</f>
        <v>7.1452847549437903</v>
      </c>
      <c r="M94" s="689">
        <f>K94/L94</f>
        <v>3.0789535693141268</v>
      </c>
      <c r="N94" s="685">
        <f t="shared" si="10"/>
        <v>45873.989999999947</v>
      </c>
      <c r="O94" s="686">
        <f t="shared" si="11"/>
        <v>6422.8125189213497</v>
      </c>
      <c r="P94" s="680" t="s">
        <v>1129</v>
      </c>
      <c r="Q94" s="613" t="s">
        <v>1130</v>
      </c>
      <c r="R94" s="613"/>
      <c r="S94" s="595">
        <f>S93-M94</f>
        <v>6422.8125189213642</v>
      </c>
      <c r="T94" s="645"/>
    </row>
    <row r="95" spans="2:20" ht="10.9" customHeight="1">
      <c r="B95" s="639">
        <v>45312</v>
      </c>
      <c r="C95" s="671" t="s">
        <v>250</v>
      </c>
      <c r="D95" s="640"/>
      <c r="E95" s="640">
        <v>51</v>
      </c>
      <c r="F95" s="640" t="s">
        <v>107</v>
      </c>
      <c r="G95" s="640"/>
      <c r="H95" s="642"/>
      <c r="I95" s="641"/>
      <c r="J95" s="643"/>
      <c r="K95" s="672">
        <v>7.2</v>
      </c>
      <c r="L95" s="612">
        <f>'통장내역(환율표)'!$D$154</f>
        <v>7.1452847549437903</v>
      </c>
      <c r="M95" s="689">
        <f>K95/L95</f>
        <v>1.0076575317755325</v>
      </c>
      <c r="N95" s="685">
        <f t="shared" si="10"/>
        <v>45866.78999999995</v>
      </c>
      <c r="O95" s="686">
        <f t="shared" si="11"/>
        <v>6421.8048613895744</v>
      </c>
      <c r="P95" s="680" t="s">
        <v>1129</v>
      </c>
      <c r="Q95" s="613" t="s">
        <v>1130</v>
      </c>
      <c r="R95" s="613"/>
      <c r="S95" s="595">
        <f>S94-M95</f>
        <v>6421.804861389589</v>
      </c>
      <c r="T95" s="645"/>
    </row>
    <row r="96" spans="2:20" ht="11.25" hidden="1" customHeight="1" thickBot="1">
      <c r="B96" s="653">
        <v>45291</v>
      </c>
      <c r="C96" s="654"/>
      <c r="D96" s="655"/>
      <c r="E96" s="654"/>
      <c r="F96" s="656"/>
      <c r="G96" s="657"/>
      <c r="H96" s="658"/>
      <c r="I96" s="659"/>
      <c r="J96" s="660"/>
      <c r="K96" s="661"/>
      <c r="L96" s="662"/>
      <c r="M96" s="663"/>
      <c r="N96" s="687"/>
      <c r="O96" s="688"/>
      <c r="P96" s="664"/>
      <c r="Q96" s="665"/>
      <c r="R96" s="666"/>
      <c r="S96" s="595">
        <f>S95-M96</f>
        <v>6421.804861389589</v>
      </c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  <c r="K102" s="531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  <row r="111" spans="3:11" ht="11.25" customHeight="1">
      <c r="C111" s="589"/>
      <c r="D111" s="589"/>
      <c r="E111" s="589"/>
      <c r="F111" s="589"/>
      <c r="G111" s="589"/>
      <c r="H111" s="589"/>
    </row>
  </sheetData>
  <autoFilter ref="B17:R96" xr:uid="{00000000-0009-0000-0000-000001000000}">
    <filterColumn colId="4">
      <filters>
        <filter val="해외지사비"/>
      </filters>
    </filterColumn>
    <filterColumn colId="14" showButton="0"/>
    <sortState xmlns:xlrd2="http://schemas.microsoft.com/office/spreadsheetml/2017/richdata2" ref="B18:R96">
      <sortCondition sortBy="cellColor" ref="M17:M96" dxfId="19"/>
    </sortState>
  </autoFilter>
  <mergeCells count="5">
    <mergeCell ref="K16:M16"/>
    <mergeCell ref="N16:O16"/>
    <mergeCell ref="P16:Q16"/>
    <mergeCell ref="P17:Q17"/>
    <mergeCell ref="H16:J16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B5EB-05F0-4711-887E-43522B0FF5A8}">
  <sheetPr>
    <tabColor theme="4" tint="-0.499984740745262"/>
  </sheetPr>
  <dimension ref="A1:X110"/>
  <sheetViews>
    <sheetView showGridLines="0" zoomScaleNormal="100" workbookViewId="0">
      <pane ySplit="18" topLeftCell="A49" activePane="bottomLeft" state="frozen"/>
      <selection activeCell="C114" sqref="C114"/>
      <selection pane="bottomLeft" activeCell="F41" sqref="F41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5" style="559" customWidth="1"/>
    <col min="5" max="5" width="9.37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4" width="12.375" style="531" customWidth="1"/>
    <col min="15" max="15" width="9.875" style="531" customWidth="1"/>
    <col min="16" max="16" width="9.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1153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1132</v>
      </c>
      <c r="C3" s="547"/>
      <c r="D3" s="548"/>
      <c r="E3" s="547"/>
      <c r="F3" s="549"/>
      <c r="G3" s="550"/>
      <c r="H3" s="546" t="s">
        <v>1141</v>
      </c>
      <c r="I3" s="547"/>
      <c r="J3" s="548"/>
      <c r="K3" s="548"/>
      <c r="L3" s="549"/>
      <c r="M3" s="540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540"/>
      <c r="N4" s="542" t="s">
        <v>1082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 t="shared" ref="F5:F12" si="0">ROUND(E5*1312.1,0)</f>
        <v>0</v>
      </c>
      <c r="G5" s="568"/>
      <c r="H5" s="569" t="s">
        <v>11</v>
      </c>
      <c r="I5" s="569" t="s">
        <v>12</v>
      </c>
      <c r="J5" s="766">
        <v>17032</v>
      </c>
      <c r="K5" s="766">
        <v>2371.89</v>
      </c>
      <c r="L5" s="567">
        <f>ROUND(K5*1327.2,0)</f>
        <v>3147972</v>
      </c>
      <c r="M5" s="540"/>
      <c r="N5" s="542" t="s">
        <v>1082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si="0"/>
        <v>0</v>
      </c>
      <c r="G6" s="572"/>
      <c r="H6" s="569" t="s">
        <v>13</v>
      </c>
      <c r="I6" s="569" t="s">
        <v>14</v>
      </c>
      <c r="J6" s="766">
        <v>33167.440000000002</v>
      </c>
      <c r="K6" s="766">
        <v>4618.92</v>
      </c>
      <c r="L6" s="567">
        <f t="shared" ref="L6:L11" si="1">ROUND(K6*1327.2,0)</f>
        <v>6130231</v>
      </c>
      <c r="M6" s="540"/>
      <c r="N6" s="542" t="s">
        <v>1082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0"/>
        <v>0</v>
      </c>
      <c r="G7" s="573"/>
      <c r="H7" s="569" t="s">
        <v>15</v>
      </c>
      <c r="I7" s="569" t="s">
        <v>1064</v>
      </c>
      <c r="J7" s="767">
        <v>20023</v>
      </c>
      <c r="K7" s="767">
        <v>2788.42</v>
      </c>
      <c r="L7" s="723">
        <f t="shared" si="1"/>
        <v>3700791</v>
      </c>
      <c r="M7" s="540"/>
      <c r="N7" s="542" t="s">
        <v>1082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2437.06</v>
      </c>
      <c r="L8" s="723">
        <f t="shared" si="1"/>
        <v>3234466</v>
      </c>
      <c r="M8" s="540"/>
      <c r="N8" s="542" t="s">
        <v>1082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1341.28</v>
      </c>
      <c r="K9" s="766">
        <v>186.79</v>
      </c>
      <c r="L9" s="567">
        <f t="shared" si="1"/>
        <v>247908</v>
      </c>
      <c r="M9" s="540"/>
      <c r="N9" s="542" t="s">
        <v>1082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45885.589639298028</v>
      </c>
      <c r="E10" s="570">
        <v>6421.7999999999993</v>
      </c>
      <c r="F10" s="567">
        <f t="shared" si="0"/>
        <v>8426044</v>
      </c>
      <c r="G10" s="575"/>
      <c r="H10" s="569" t="s">
        <v>21</v>
      </c>
      <c r="I10" s="569"/>
      <c r="J10" s="766">
        <v>147343.42000000001</v>
      </c>
      <c r="K10" s="766">
        <v>20545.145058143244</v>
      </c>
      <c r="L10" s="567">
        <f t="shared" si="1"/>
        <v>27267517</v>
      </c>
      <c r="M10" s="540"/>
      <c r="N10" s="542" t="s">
        <v>1082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0"/>
        <v>0</v>
      </c>
      <c r="G11" s="580">
        <f>G13/G12</f>
        <v>1325.0380316821365</v>
      </c>
      <c r="H11" s="576" t="s">
        <v>1066</v>
      </c>
      <c r="I11" s="577" t="s">
        <v>1067</v>
      </c>
      <c r="J11" s="581">
        <v>39365</v>
      </c>
      <c r="K11" s="581">
        <v>5482</v>
      </c>
      <c r="L11" s="579">
        <f t="shared" si="1"/>
        <v>7275710</v>
      </c>
      <c r="M11" s="540"/>
      <c r="N11" s="542" t="s">
        <v>1082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0"/>
        <v>0</v>
      </c>
      <c r="G12" s="582">
        <f>E13+K13+Q13</f>
        <v>44852.025058143248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540"/>
      <c r="N12" s="542" t="s">
        <v>1082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45885.589639298028</v>
      </c>
      <c r="E13" s="586">
        <f>SUM(E5:E11)-E12</f>
        <v>6421.7999999999993</v>
      </c>
      <c r="F13" s="587">
        <f>SUM(F5:F11)-F12</f>
        <v>8426044</v>
      </c>
      <c r="G13" s="588">
        <f>F13+L13+R13</f>
        <v>59430639</v>
      </c>
      <c r="H13" s="583" t="s">
        <v>22</v>
      </c>
      <c r="I13" s="584"/>
      <c r="J13" s="585">
        <f>SUM(J5:J11)-J12</f>
        <v>275772.14</v>
      </c>
      <c r="K13" s="586">
        <f>SUM(K5:K11)-K12</f>
        <v>38430.225058143245</v>
      </c>
      <c r="L13" s="587">
        <f>SUM(L5:L11)-L12</f>
        <v>51004595</v>
      </c>
      <c r="M13" s="540"/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321657.72963929805</v>
      </c>
      <c r="K14" s="720">
        <f>K13+E13</f>
        <v>44852.025058143248</v>
      </c>
      <c r="L14" s="721">
        <f>L13+F13</f>
        <v>59430639</v>
      </c>
      <c r="M14" s="540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SUBTOTAL(9,K18:K124)</f>
        <v>321657.73</v>
      </c>
      <c r="L15" s="137"/>
      <c r="M15" s="724">
        <f>SUBTOTAL(9,M18:M124)</f>
        <v>44852.033968336174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6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30"/>
      <c r="R17" s="609" t="s">
        <v>1071</v>
      </c>
    </row>
    <row r="18" spans="1:19" ht="11.25" customHeight="1">
      <c r="B18" s="729">
        <v>45322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45866.78999999995</v>
      </c>
      <c r="O18" s="755">
        <v>6421.8048613895744</v>
      </c>
      <c r="P18" s="753"/>
      <c r="Q18" s="732"/>
      <c r="R18" s="737"/>
      <c r="S18" s="717">
        <v>6421.8</v>
      </c>
    </row>
    <row r="19" spans="1:19" ht="11.25" customHeight="1">
      <c r="B19" s="692">
        <v>45342</v>
      </c>
      <c r="C19" s="727" t="s">
        <v>823</v>
      </c>
      <c r="D19" s="693"/>
      <c r="E19" s="693">
        <v>1</v>
      </c>
      <c r="F19" s="693"/>
      <c r="G19" s="693"/>
      <c r="H19" s="694">
        <v>366169.4</v>
      </c>
      <c r="I19" s="695"/>
      <c r="J19" s="694">
        <v>51019</v>
      </c>
      <c r="K19" s="696"/>
      <c r="L19" s="697"/>
      <c r="M19" s="691"/>
      <c r="N19" s="699">
        <f t="shared" ref="N19:N25" si="2">N18+H19-K19</f>
        <v>412036.18999999994</v>
      </c>
      <c r="O19" s="700">
        <f t="shared" ref="O19:O25" si="3">O18+J19-M19</f>
        <v>57440.804861389573</v>
      </c>
      <c r="P19" s="701"/>
      <c r="Q19" s="702"/>
      <c r="R19" s="702"/>
      <c r="S19" s="595">
        <f>S18-M19</f>
        <v>6421.8</v>
      </c>
    </row>
    <row r="20" spans="1:19" ht="11.25" customHeight="1">
      <c r="B20" s="692">
        <v>45342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'통장내역(환율표)'!$D$166</f>
        <v>7.161755722340466</v>
      </c>
      <c r="M20" s="765">
        <v>26</v>
      </c>
      <c r="N20" s="699">
        <f t="shared" si="2"/>
        <v>412036.18999999994</v>
      </c>
      <c r="O20" s="700">
        <f t="shared" si="3"/>
        <v>57414.804861389573</v>
      </c>
      <c r="P20" s="701" t="s">
        <v>1146</v>
      </c>
      <c r="Q20" s="702" t="s">
        <v>1149</v>
      </c>
      <c r="R20" s="702"/>
      <c r="S20" s="595"/>
    </row>
    <row r="21" spans="1:19" ht="11.25" customHeight="1">
      <c r="B21" s="639">
        <v>45342</v>
      </c>
      <c r="C21" s="738" t="s">
        <v>700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1010</v>
      </c>
      <c r="L21" s="612">
        <f>'통장내역(환율표)'!$D$154</f>
        <v>7.1452847549437903</v>
      </c>
      <c r="M21" s="703">
        <f>K21/L21</f>
        <v>141.3519593185122</v>
      </c>
      <c r="N21" s="685">
        <f t="shared" si="2"/>
        <v>411026.18999999994</v>
      </c>
      <c r="O21" s="686">
        <f t="shared" si="3"/>
        <v>57273.452902071062</v>
      </c>
      <c r="P21" s="680" t="s">
        <v>1129</v>
      </c>
      <c r="Q21" s="613" t="s">
        <v>1147</v>
      </c>
      <c r="R21" s="613"/>
      <c r="S21" s="595">
        <f>S19-M21</f>
        <v>6280.4480406814882</v>
      </c>
    </row>
    <row r="22" spans="1:19" ht="11.25" customHeight="1">
      <c r="B22" s="639">
        <v>45342</v>
      </c>
      <c r="C22" s="728" t="s">
        <v>250</v>
      </c>
      <c r="D22" s="739"/>
      <c r="E22" s="740">
        <v>3</v>
      </c>
      <c r="F22" s="640" t="s">
        <v>107</v>
      </c>
      <c r="G22" s="640"/>
      <c r="H22" s="642"/>
      <c r="I22" s="641"/>
      <c r="J22" s="643"/>
      <c r="K22" s="772">
        <v>3.6</v>
      </c>
      <c r="L22" s="612">
        <f>'통장내역(환율표)'!$D$154</f>
        <v>7.1452847549437903</v>
      </c>
      <c r="M22" s="703">
        <f>K22/L22</f>
        <v>0.50382876588776626</v>
      </c>
      <c r="N22" s="685">
        <f t="shared" si="2"/>
        <v>411022.58999999997</v>
      </c>
      <c r="O22" s="686">
        <f t="shared" si="3"/>
        <v>57272.949073305172</v>
      </c>
      <c r="P22" s="680" t="s">
        <v>1129</v>
      </c>
      <c r="Q22" s="613" t="s">
        <v>1147</v>
      </c>
      <c r="R22" s="613"/>
      <c r="S22" s="595">
        <f>S21-M22</f>
        <v>6279.9442119156001</v>
      </c>
    </row>
    <row r="23" spans="1:19" ht="11.25" customHeight="1">
      <c r="B23" s="639">
        <v>45342</v>
      </c>
      <c r="C23" s="741" t="s">
        <v>892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667">
        <v>16000</v>
      </c>
      <c r="L23" s="612">
        <f>'통장내역(환율표)'!$D$154</f>
        <v>7.1452847549437903</v>
      </c>
      <c r="M23" s="703">
        <f>K23/L23</f>
        <v>2239.2389595011832</v>
      </c>
      <c r="N23" s="685">
        <f t="shared" si="2"/>
        <v>395022.58999999997</v>
      </c>
      <c r="O23" s="686">
        <f t="shared" si="3"/>
        <v>55033.710113803987</v>
      </c>
      <c r="P23" s="680" t="s">
        <v>1129</v>
      </c>
      <c r="Q23" s="613" t="s">
        <v>1147</v>
      </c>
      <c r="R23" s="670" t="s">
        <v>1119</v>
      </c>
      <c r="S23" s="595">
        <f>S22-M23</f>
        <v>4040.7052524144169</v>
      </c>
    </row>
    <row r="24" spans="1:19" ht="11.25" customHeight="1">
      <c r="B24" s="639">
        <v>45342</v>
      </c>
      <c r="C24" s="741" t="s">
        <v>947</v>
      </c>
      <c r="D24" s="739"/>
      <c r="E24" s="740">
        <v>4</v>
      </c>
      <c r="F24" s="640" t="s">
        <v>107</v>
      </c>
      <c r="G24" s="640"/>
      <c r="H24" s="642"/>
      <c r="I24" s="641"/>
      <c r="J24" s="643"/>
      <c r="K24" s="667">
        <v>24000</v>
      </c>
      <c r="L24" s="612">
        <f>'통장내역(환율표)'!$D$154</f>
        <v>7.1452847549437903</v>
      </c>
      <c r="M24" s="703">
        <f>K24/L24</f>
        <v>3358.8584392517751</v>
      </c>
      <c r="N24" s="685">
        <f t="shared" si="2"/>
        <v>371022.58999999997</v>
      </c>
      <c r="O24" s="686">
        <f t="shared" si="3"/>
        <v>51674.851674552214</v>
      </c>
      <c r="P24" s="680" t="s">
        <v>1129</v>
      </c>
      <c r="Q24" s="613" t="s">
        <v>1147</v>
      </c>
      <c r="R24" s="670" t="s">
        <v>1119</v>
      </c>
      <c r="S24" s="595">
        <f>S23-M24</f>
        <v>681.84681316264187</v>
      </c>
    </row>
    <row r="25" spans="1:19" ht="11.25" customHeight="1">
      <c r="B25" s="639">
        <v>45342</v>
      </c>
      <c r="C25" s="741" t="s">
        <v>894</v>
      </c>
      <c r="D25" s="739"/>
      <c r="E25" s="740">
        <v>4</v>
      </c>
      <c r="F25" s="640" t="s">
        <v>107</v>
      </c>
      <c r="G25" s="640"/>
      <c r="H25" s="642"/>
      <c r="I25" s="641"/>
      <c r="J25" s="643"/>
      <c r="K25" s="710">
        <f>L25*M25</f>
        <v>4871.9896392980318</v>
      </c>
      <c r="L25" s="612">
        <f>'통장내역(환율표)'!$D$154</f>
        <v>7.1452847549437903</v>
      </c>
      <c r="M25" s="703">
        <v>681.84681316264187</v>
      </c>
      <c r="N25" s="685">
        <f t="shared" si="2"/>
        <v>366150.60036070191</v>
      </c>
      <c r="O25" s="686">
        <f t="shared" si="3"/>
        <v>50993.004861389571</v>
      </c>
      <c r="P25" s="680" t="s">
        <v>1129</v>
      </c>
      <c r="Q25" s="613" t="s">
        <v>1147</v>
      </c>
      <c r="R25" s="670" t="s">
        <v>1119</v>
      </c>
      <c r="S25" s="595">
        <f>S24-M25</f>
        <v>0</v>
      </c>
    </row>
    <row r="26" spans="1:19" ht="11.25" customHeight="1">
      <c r="B26" s="639">
        <v>45342</v>
      </c>
      <c r="C26" s="741" t="s">
        <v>894</v>
      </c>
      <c r="D26" s="739"/>
      <c r="E26" s="740">
        <v>4</v>
      </c>
      <c r="F26" s="640" t="s">
        <v>107</v>
      </c>
      <c r="G26" s="640"/>
      <c r="H26" s="642"/>
      <c r="I26" s="641"/>
      <c r="J26" s="643"/>
      <c r="K26" s="710">
        <f>4957.03-K25</f>
        <v>85.040360701967984</v>
      </c>
      <c r="L26" s="612">
        <f>'통장내역(환율표)'!$D$161</f>
        <v>7.1807777538093465</v>
      </c>
      <c r="M26" s="765">
        <f t="shared" ref="M26:M85" si="4">K26/L26</f>
        <v>11.84277854259655</v>
      </c>
      <c r="N26" s="685">
        <f t="shared" ref="N26:N89" si="5">N25+H26-K26</f>
        <v>366065.55999999994</v>
      </c>
      <c r="O26" s="686">
        <f t="shared" ref="O26:O89" si="6">O25+J26-M26</f>
        <v>50981.162082846975</v>
      </c>
      <c r="P26" s="680" t="s">
        <v>1145</v>
      </c>
      <c r="Q26" s="613" t="s">
        <v>1148</v>
      </c>
      <c r="R26" s="670" t="s">
        <v>1119</v>
      </c>
      <c r="S26" s="595">
        <f>50993-M26</f>
        <v>50981.157221457404</v>
      </c>
    </row>
    <row r="27" spans="1:19" ht="11.25" customHeight="1">
      <c r="B27" s="639">
        <v>45342</v>
      </c>
      <c r="C27" s="741" t="s">
        <v>895</v>
      </c>
      <c r="D27" s="739"/>
      <c r="E27" s="740">
        <v>4</v>
      </c>
      <c r="F27" s="640" t="s">
        <v>107</v>
      </c>
      <c r="G27" s="640"/>
      <c r="H27" s="642"/>
      <c r="I27" s="641"/>
      <c r="J27" s="643"/>
      <c r="K27" s="710">
        <v>3152.5600000000004</v>
      </c>
      <c r="L27" s="612">
        <f>'통장내역(환율표)'!$D$161</f>
        <v>7.1807777538093465</v>
      </c>
      <c r="M27" s="765">
        <f t="shared" si="4"/>
        <v>439.02765244720069</v>
      </c>
      <c r="N27" s="685">
        <f t="shared" si="5"/>
        <v>362912.99999999994</v>
      </c>
      <c r="O27" s="686">
        <f t="shared" si="6"/>
        <v>50542.134430399776</v>
      </c>
      <c r="P27" s="680" t="s">
        <v>1145</v>
      </c>
      <c r="Q27" s="613" t="s">
        <v>1148</v>
      </c>
      <c r="R27" s="670" t="s">
        <v>1119</v>
      </c>
      <c r="S27" s="595">
        <f>S26-M27</f>
        <v>50542.129569010205</v>
      </c>
    </row>
    <row r="28" spans="1:19" ht="11.25" customHeight="1">
      <c r="B28" s="639">
        <v>45342</v>
      </c>
      <c r="C28" s="741" t="s">
        <v>899</v>
      </c>
      <c r="D28" s="739"/>
      <c r="E28" s="740">
        <v>4</v>
      </c>
      <c r="F28" s="640" t="s">
        <v>107</v>
      </c>
      <c r="G28" s="640"/>
      <c r="H28" s="642"/>
      <c r="I28" s="641"/>
      <c r="J28" s="643"/>
      <c r="K28" s="710">
        <v>300</v>
      </c>
      <c r="L28" s="612">
        <f>'통장내역(환율표)'!$D$161</f>
        <v>7.1807777538093465</v>
      </c>
      <c r="M28" s="765">
        <f t="shared" si="4"/>
        <v>41.778204295607445</v>
      </c>
      <c r="N28" s="685">
        <f t="shared" si="5"/>
        <v>362612.99999999994</v>
      </c>
      <c r="O28" s="686">
        <f t="shared" si="6"/>
        <v>50500.356226104166</v>
      </c>
      <c r="P28" s="680" t="s">
        <v>1145</v>
      </c>
      <c r="Q28" s="613" t="s">
        <v>1148</v>
      </c>
      <c r="R28" s="670" t="s">
        <v>1119</v>
      </c>
      <c r="S28" s="595">
        <f t="shared" ref="S28:S91" si="7">S27-M28</f>
        <v>50500.351364714596</v>
      </c>
    </row>
    <row r="29" spans="1:19" ht="11.25" customHeight="1">
      <c r="B29" s="639">
        <v>45342</v>
      </c>
      <c r="C29" s="741" t="s">
        <v>892</v>
      </c>
      <c r="D29" s="739"/>
      <c r="E29" s="740">
        <v>4</v>
      </c>
      <c r="F29" s="640" t="s">
        <v>107</v>
      </c>
      <c r="G29" s="640"/>
      <c r="H29" s="642"/>
      <c r="I29" s="641"/>
      <c r="J29" s="643"/>
      <c r="K29" s="667">
        <v>15000</v>
      </c>
      <c r="L29" s="612">
        <f>'통장내역(환율표)'!$D$161</f>
        <v>7.1807777538093465</v>
      </c>
      <c r="M29" s="765">
        <f t="shared" si="4"/>
        <v>2088.9102147803719</v>
      </c>
      <c r="N29" s="685">
        <f t="shared" si="5"/>
        <v>347612.99999999994</v>
      </c>
      <c r="O29" s="686">
        <f t="shared" si="6"/>
        <v>48411.446011323795</v>
      </c>
      <c r="P29" s="680" t="s">
        <v>1145</v>
      </c>
      <c r="Q29" s="613" t="s">
        <v>1148</v>
      </c>
      <c r="R29" s="670" t="s">
        <v>1120</v>
      </c>
      <c r="S29" s="595">
        <f t="shared" si="7"/>
        <v>48411.441149934224</v>
      </c>
    </row>
    <row r="30" spans="1:19" ht="11.25" customHeight="1">
      <c r="B30" s="639">
        <v>45342</v>
      </c>
      <c r="C30" s="741" t="s">
        <v>947</v>
      </c>
      <c r="D30" s="739"/>
      <c r="E30" s="740">
        <v>4</v>
      </c>
      <c r="F30" s="640" t="s">
        <v>107</v>
      </c>
      <c r="G30" s="640"/>
      <c r="H30" s="642"/>
      <c r="I30" s="641"/>
      <c r="J30" s="643"/>
      <c r="K30" s="667">
        <v>22000</v>
      </c>
      <c r="L30" s="612">
        <f>'통장내역(환율표)'!$D$161</f>
        <v>7.1807777538093465</v>
      </c>
      <c r="M30" s="765">
        <f t="shared" si="4"/>
        <v>3063.7349816778792</v>
      </c>
      <c r="N30" s="685">
        <f t="shared" si="5"/>
        <v>325612.99999999994</v>
      </c>
      <c r="O30" s="686">
        <f t="shared" si="6"/>
        <v>45347.711029645914</v>
      </c>
      <c r="P30" s="680" t="s">
        <v>1145</v>
      </c>
      <c r="Q30" s="613" t="s">
        <v>1148</v>
      </c>
      <c r="R30" s="670" t="s">
        <v>1120</v>
      </c>
      <c r="S30" s="595">
        <f t="shared" si="7"/>
        <v>45347.706168256344</v>
      </c>
    </row>
    <row r="31" spans="1:19" ht="11.25" customHeight="1">
      <c r="B31" s="639">
        <v>45342</v>
      </c>
      <c r="C31" s="741" t="s">
        <v>894</v>
      </c>
      <c r="D31" s="739"/>
      <c r="E31" s="740">
        <v>4</v>
      </c>
      <c r="F31" s="640" t="s">
        <v>107</v>
      </c>
      <c r="G31" s="640"/>
      <c r="H31" s="642"/>
      <c r="I31" s="641"/>
      <c r="J31" s="643"/>
      <c r="K31" s="710">
        <v>8399.7900000000009</v>
      </c>
      <c r="L31" s="612">
        <f>'통장내역(환율표)'!$D$161</f>
        <v>7.1807777538093465</v>
      </c>
      <c r="M31" s="765">
        <f t="shared" si="4"/>
        <v>1169.7604755340017</v>
      </c>
      <c r="N31" s="685">
        <f t="shared" si="5"/>
        <v>317213.20999999996</v>
      </c>
      <c r="O31" s="686">
        <f t="shared" si="6"/>
        <v>44177.950554111914</v>
      </c>
      <c r="P31" s="680" t="s">
        <v>1145</v>
      </c>
      <c r="Q31" s="613" t="s">
        <v>1148</v>
      </c>
      <c r="R31" s="670" t="s">
        <v>1120</v>
      </c>
      <c r="S31" s="595">
        <f t="shared" si="7"/>
        <v>44177.945692722344</v>
      </c>
    </row>
    <row r="32" spans="1:19" ht="11.25" customHeight="1">
      <c r="B32" s="639">
        <v>45342</v>
      </c>
      <c r="C32" s="741" t="s">
        <v>895</v>
      </c>
      <c r="D32" s="739"/>
      <c r="E32" s="740">
        <v>4</v>
      </c>
      <c r="F32" s="640" t="s">
        <v>107</v>
      </c>
      <c r="G32" s="640"/>
      <c r="H32" s="642"/>
      <c r="I32" s="641"/>
      <c r="J32" s="643"/>
      <c r="K32" s="710">
        <v>2353.9</v>
      </c>
      <c r="L32" s="612">
        <f>'통장내역(환율표)'!$D$161</f>
        <v>7.1807777538093465</v>
      </c>
      <c r="M32" s="765">
        <f t="shared" si="4"/>
        <v>327.80571697143455</v>
      </c>
      <c r="N32" s="685">
        <f t="shared" si="5"/>
        <v>314859.30999999994</v>
      </c>
      <c r="O32" s="686">
        <f t="shared" si="6"/>
        <v>43850.144837140477</v>
      </c>
      <c r="P32" s="680" t="s">
        <v>1145</v>
      </c>
      <c r="Q32" s="613" t="s">
        <v>1148</v>
      </c>
      <c r="R32" s="670" t="s">
        <v>1120</v>
      </c>
      <c r="S32" s="595">
        <f t="shared" si="7"/>
        <v>43850.139975750906</v>
      </c>
    </row>
    <row r="33" spans="2:19" ht="11.25" customHeight="1">
      <c r="B33" s="639">
        <v>45342</v>
      </c>
      <c r="C33" s="741" t="s">
        <v>899</v>
      </c>
      <c r="D33" s="739"/>
      <c r="E33" s="740">
        <v>4</v>
      </c>
      <c r="F33" s="640" t="s">
        <v>107</v>
      </c>
      <c r="G33" s="640"/>
      <c r="H33" s="642"/>
      <c r="I33" s="641"/>
      <c r="J33" s="643"/>
      <c r="K33" s="710">
        <v>300</v>
      </c>
      <c r="L33" s="612">
        <f>'통장내역(환율표)'!$D$161</f>
        <v>7.1807777538093465</v>
      </c>
      <c r="M33" s="765">
        <f t="shared" si="4"/>
        <v>41.778204295607445</v>
      </c>
      <c r="N33" s="685">
        <f t="shared" si="5"/>
        <v>314559.30999999994</v>
      </c>
      <c r="O33" s="686">
        <f t="shared" si="6"/>
        <v>43808.366632844867</v>
      </c>
      <c r="P33" s="680" t="s">
        <v>1145</v>
      </c>
      <c r="Q33" s="613" t="s">
        <v>1148</v>
      </c>
      <c r="R33" s="670" t="s">
        <v>1120</v>
      </c>
      <c r="S33" s="595">
        <f t="shared" si="7"/>
        <v>43808.361771455297</v>
      </c>
    </row>
    <row r="34" spans="2:19" ht="11.25" customHeight="1">
      <c r="B34" s="639">
        <v>45342</v>
      </c>
      <c r="C34" s="741" t="s">
        <v>898</v>
      </c>
      <c r="D34" s="739"/>
      <c r="E34" s="740">
        <v>4</v>
      </c>
      <c r="F34" s="640" t="s">
        <v>107</v>
      </c>
      <c r="G34" s="640"/>
      <c r="H34" s="642"/>
      <c r="I34" s="641"/>
      <c r="J34" s="643"/>
      <c r="K34" s="711">
        <v>25000</v>
      </c>
      <c r="L34" s="612">
        <f>'통장내역(환율표)'!$D$161</f>
        <v>7.1807777538093465</v>
      </c>
      <c r="M34" s="765">
        <f t="shared" si="4"/>
        <v>3481.5170246339535</v>
      </c>
      <c r="N34" s="685">
        <f t="shared" si="5"/>
        <v>289559.30999999994</v>
      </c>
      <c r="O34" s="686">
        <f t="shared" si="6"/>
        <v>40326.849608210912</v>
      </c>
      <c r="P34" s="680" t="s">
        <v>1145</v>
      </c>
      <c r="Q34" s="613" t="s">
        <v>1148</v>
      </c>
      <c r="R34" s="670" t="s">
        <v>1121</v>
      </c>
      <c r="S34" s="595">
        <f t="shared" si="7"/>
        <v>40326.844746821342</v>
      </c>
    </row>
    <row r="35" spans="2:19" ht="11.25" customHeight="1">
      <c r="B35" s="639">
        <v>45342</v>
      </c>
      <c r="C35" s="741" t="s">
        <v>948</v>
      </c>
      <c r="D35" s="739"/>
      <c r="E35" s="740">
        <v>4</v>
      </c>
      <c r="F35" s="640" t="s">
        <v>107</v>
      </c>
      <c r="G35" s="640"/>
      <c r="H35" s="642"/>
      <c r="I35" s="641"/>
      <c r="J35" s="643"/>
      <c r="K35" s="710">
        <v>6672.19</v>
      </c>
      <c r="L35" s="612">
        <f>'통장내역(환율표)'!$D$161</f>
        <v>7.1807777538093465</v>
      </c>
      <c r="M35" s="765">
        <f t="shared" si="4"/>
        <v>929.17372306369668</v>
      </c>
      <c r="N35" s="685">
        <f t="shared" si="5"/>
        <v>282887.11999999994</v>
      </c>
      <c r="O35" s="686">
        <f t="shared" si="6"/>
        <v>39397.675885147219</v>
      </c>
      <c r="P35" s="680" t="s">
        <v>1145</v>
      </c>
      <c r="Q35" s="613" t="s">
        <v>1148</v>
      </c>
      <c r="R35" s="670" t="s">
        <v>1121</v>
      </c>
      <c r="S35" s="595">
        <f t="shared" si="7"/>
        <v>39397.671023757648</v>
      </c>
    </row>
    <row r="36" spans="2:19" ht="11.25" customHeight="1">
      <c r="B36" s="639">
        <v>45342</v>
      </c>
      <c r="C36" s="741" t="s">
        <v>899</v>
      </c>
      <c r="D36" s="739"/>
      <c r="E36" s="740">
        <v>4</v>
      </c>
      <c r="F36" s="640" t="s">
        <v>107</v>
      </c>
      <c r="G36" s="640"/>
      <c r="H36" s="642"/>
      <c r="I36" s="641"/>
      <c r="J36" s="643"/>
      <c r="K36" s="710">
        <v>300</v>
      </c>
      <c r="L36" s="612">
        <f>'통장내역(환율표)'!$D$161</f>
        <v>7.1807777538093465</v>
      </c>
      <c r="M36" s="765">
        <f t="shared" si="4"/>
        <v>41.778204295607445</v>
      </c>
      <c r="N36" s="685">
        <f t="shared" si="5"/>
        <v>282587.11999999994</v>
      </c>
      <c r="O36" s="686">
        <f t="shared" si="6"/>
        <v>39355.897680851609</v>
      </c>
      <c r="P36" s="680" t="s">
        <v>1145</v>
      </c>
      <c r="Q36" s="613" t="s">
        <v>1148</v>
      </c>
      <c r="R36" s="670" t="s">
        <v>1121</v>
      </c>
      <c r="S36" s="595">
        <f t="shared" si="7"/>
        <v>39355.892819462038</v>
      </c>
    </row>
    <row r="37" spans="2:19" ht="11.25" customHeight="1">
      <c r="B37" s="639">
        <v>45342</v>
      </c>
      <c r="C37" s="741" t="s">
        <v>992</v>
      </c>
      <c r="D37" s="739"/>
      <c r="E37" s="740">
        <v>4</v>
      </c>
      <c r="F37" s="640" t="s">
        <v>107</v>
      </c>
      <c r="G37" s="640"/>
      <c r="H37" s="642"/>
      <c r="I37" s="641"/>
      <c r="J37" s="643"/>
      <c r="K37" s="710">
        <v>1200</v>
      </c>
      <c r="L37" s="612">
        <f>'통장내역(환율표)'!$D$161</f>
        <v>7.1807777538093465</v>
      </c>
      <c r="M37" s="765">
        <f t="shared" si="4"/>
        <v>167.11281718242978</v>
      </c>
      <c r="N37" s="685">
        <f t="shared" si="5"/>
        <v>281387.11999999994</v>
      </c>
      <c r="O37" s="686">
        <f t="shared" si="6"/>
        <v>39188.784863669178</v>
      </c>
      <c r="P37" s="680" t="s">
        <v>1145</v>
      </c>
      <c r="Q37" s="613" t="s">
        <v>1148</v>
      </c>
      <c r="R37" s="670" t="s">
        <v>1121</v>
      </c>
      <c r="S37" s="595">
        <f t="shared" si="7"/>
        <v>39188.780002279607</v>
      </c>
    </row>
    <row r="38" spans="2:19" ht="11.25" customHeight="1">
      <c r="B38" s="639">
        <v>45342</v>
      </c>
      <c r="C38" s="741" t="s">
        <v>898</v>
      </c>
      <c r="D38" s="739"/>
      <c r="E38" s="740">
        <v>4</v>
      </c>
      <c r="F38" s="640" t="s">
        <v>107</v>
      </c>
      <c r="G38" s="640"/>
      <c r="H38" s="642"/>
      <c r="I38" s="641"/>
      <c r="J38" s="643"/>
      <c r="K38" s="711">
        <v>13000</v>
      </c>
      <c r="L38" s="612">
        <f>'통장내역(환율표)'!$D$161</f>
        <v>7.1807777538093465</v>
      </c>
      <c r="M38" s="765">
        <f t="shared" si="4"/>
        <v>1810.3888528096559</v>
      </c>
      <c r="N38" s="685">
        <f t="shared" si="5"/>
        <v>268387.11999999994</v>
      </c>
      <c r="O38" s="686">
        <f t="shared" si="6"/>
        <v>37378.39601085952</v>
      </c>
      <c r="P38" s="680" t="s">
        <v>1145</v>
      </c>
      <c r="Q38" s="613" t="s">
        <v>1148</v>
      </c>
      <c r="R38" s="712" t="s">
        <v>1122</v>
      </c>
      <c r="S38" s="595">
        <f t="shared" si="7"/>
        <v>37378.39114946995</v>
      </c>
    </row>
    <row r="39" spans="2:19" ht="11.25" customHeight="1">
      <c r="B39" s="639">
        <v>45342</v>
      </c>
      <c r="C39" s="741" t="s">
        <v>1118</v>
      </c>
      <c r="D39" s="739"/>
      <c r="E39" s="740">
        <v>4</v>
      </c>
      <c r="F39" s="640" t="s">
        <v>1150</v>
      </c>
      <c r="G39" s="640"/>
      <c r="H39" s="642"/>
      <c r="I39" s="641"/>
      <c r="J39" s="643"/>
      <c r="K39" s="711">
        <v>16523</v>
      </c>
      <c r="L39" s="612">
        <f>'통장내역(환율표)'!$D$161</f>
        <v>7.1807777538093465</v>
      </c>
      <c r="M39" s="765">
        <f t="shared" si="4"/>
        <v>2301.0042319210725</v>
      </c>
      <c r="N39" s="685">
        <f t="shared" si="5"/>
        <v>251864.11999999994</v>
      </c>
      <c r="O39" s="686">
        <f t="shared" si="6"/>
        <v>35077.39177893845</v>
      </c>
      <c r="P39" s="680" t="s">
        <v>1145</v>
      </c>
      <c r="Q39" s="613" t="s">
        <v>1148</v>
      </c>
      <c r="R39" s="712" t="s">
        <v>1122</v>
      </c>
      <c r="S39" s="595">
        <f t="shared" si="7"/>
        <v>35077.38691754888</v>
      </c>
    </row>
    <row r="40" spans="2:19" ht="11.25" customHeight="1">
      <c r="B40" s="639">
        <v>45342</v>
      </c>
      <c r="C40" s="741" t="s">
        <v>948</v>
      </c>
      <c r="D40" s="739"/>
      <c r="E40" s="740">
        <v>4</v>
      </c>
      <c r="F40" s="640" t="s">
        <v>107</v>
      </c>
      <c r="G40" s="640"/>
      <c r="H40" s="642"/>
      <c r="I40" s="641"/>
      <c r="J40" s="643"/>
      <c r="K40" s="710">
        <v>2904.31</v>
      </c>
      <c r="L40" s="612">
        <f>'통장내역(환율표)'!$D$161</f>
        <v>7.1807777538093465</v>
      </c>
      <c r="M40" s="765">
        <f t="shared" si="4"/>
        <v>404.45618839258549</v>
      </c>
      <c r="N40" s="685">
        <f t="shared" si="5"/>
        <v>248959.80999999994</v>
      </c>
      <c r="O40" s="686">
        <f t="shared" si="6"/>
        <v>34672.935590545865</v>
      </c>
      <c r="P40" s="680" t="s">
        <v>1145</v>
      </c>
      <c r="Q40" s="613" t="s">
        <v>1148</v>
      </c>
      <c r="R40" s="712" t="s">
        <v>1122</v>
      </c>
      <c r="S40" s="595">
        <f t="shared" si="7"/>
        <v>34672.930729156295</v>
      </c>
    </row>
    <row r="41" spans="2:19" ht="11.25" customHeight="1">
      <c r="B41" s="639">
        <v>45342</v>
      </c>
      <c r="C41" s="741" t="s">
        <v>899</v>
      </c>
      <c r="D41" s="739"/>
      <c r="E41" s="740">
        <v>4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'통장내역(환율표)'!$D$161</f>
        <v>7.1807777538093465</v>
      </c>
      <c r="M41" s="765">
        <f t="shared" si="4"/>
        <v>41.778204295607445</v>
      </c>
      <c r="N41" s="685">
        <f t="shared" si="5"/>
        <v>248659.80999999994</v>
      </c>
      <c r="O41" s="686">
        <f t="shared" si="6"/>
        <v>34631.157386250256</v>
      </c>
      <c r="P41" s="680" t="s">
        <v>1145</v>
      </c>
      <c r="Q41" s="613" t="s">
        <v>1148</v>
      </c>
      <c r="R41" s="712" t="s">
        <v>1122</v>
      </c>
      <c r="S41" s="595">
        <f t="shared" si="7"/>
        <v>34631.152524860685</v>
      </c>
    </row>
    <row r="42" spans="2:19" ht="11.25" customHeight="1">
      <c r="B42" s="639">
        <v>45342</v>
      </c>
      <c r="C42" s="741" t="s">
        <v>992</v>
      </c>
      <c r="D42" s="739"/>
      <c r="E42" s="740">
        <v>4</v>
      </c>
      <c r="F42" s="640" t="s">
        <v>107</v>
      </c>
      <c r="G42" s="640"/>
      <c r="H42" s="642"/>
      <c r="I42" s="641"/>
      <c r="J42" s="643"/>
      <c r="K42" s="710">
        <v>200</v>
      </c>
      <c r="L42" s="612">
        <f>'통장내역(환율표)'!$D$161</f>
        <v>7.1807777538093465</v>
      </c>
      <c r="M42" s="765">
        <f t="shared" si="4"/>
        <v>27.85213619707163</v>
      </c>
      <c r="N42" s="685">
        <f t="shared" si="5"/>
        <v>248459.80999999994</v>
      </c>
      <c r="O42" s="686">
        <f t="shared" si="6"/>
        <v>34603.305250053185</v>
      </c>
      <c r="P42" s="680" t="s">
        <v>1145</v>
      </c>
      <c r="Q42" s="613" t="s">
        <v>1148</v>
      </c>
      <c r="R42" s="712" t="s">
        <v>1122</v>
      </c>
      <c r="S42" s="595">
        <f t="shared" si="7"/>
        <v>34603.300388663614</v>
      </c>
    </row>
    <row r="43" spans="2:19" ht="11.25" customHeight="1">
      <c r="B43" s="639">
        <v>45342</v>
      </c>
      <c r="C43" s="741" t="s">
        <v>898</v>
      </c>
      <c r="D43" s="739"/>
      <c r="E43" s="740">
        <v>4</v>
      </c>
      <c r="F43" s="640" t="s">
        <v>107</v>
      </c>
      <c r="G43" s="640"/>
      <c r="H43" s="642"/>
      <c r="I43" s="641"/>
      <c r="J43" s="643"/>
      <c r="K43" s="711">
        <v>25000</v>
      </c>
      <c r="L43" s="612">
        <f>'통장내역(환율표)'!$D$161</f>
        <v>7.1807777538093465</v>
      </c>
      <c r="M43" s="765">
        <f t="shared" si="4"/>
        <v>3481.5170246339535</v>
      </c>
      <c r="N43" s="685">
        <f t="shared" si="5"/>
        <v>223459.80999999994</v>
      </c>
      <c r="O43" s="686">
        <f t="shared" si="6"/>
        <v>31121.78822541923</v>
      </c>
      <c r="P43" s="680" t="s">
        <v>1145</v>
      </c>
      <c r="Q43" s="613" t="s">
        <v>1148</v>
      </c>
      <c r="R43" s="670" t="s">
        <v>1123</v>
      </c>
      <c r="S43" s="595">
        <f t="shared" si="7"/>
        <v>31121.783364029659</v>
      </c>
    </row>
    <row r="44" spans="2:19" ht="11.25" customHeight="1">
      <c r="B44" s="639">
        <v>45342</v>
      </c>
      <c r="C44" s="741" t="s">
        <v>1118</v>
      </c>
      <c r="D44" s="739"/>
      <c r="E44" s="740">
        <v>4</v>
      </c>
      <c r="F44" s="640" t="s">
        <v>1150</v>
      </c>
      <c r="G44" s="640"/>
      <c r="H44" s="642"/>
      <c r="I44" s="641"/>
      <c r="J44" s="643"/>
      <c r="K44" s="711">
        <v>22842</v>
      </c>
      <c r="L44" s="612">
        <f>'통장내역(환율표)'!$D$161</f>
        <v>7.1807777538093465</v>
      </c>
      <c r="M44" s="765">
        <f t="shared" si="4"/>
        <v>3180.9924750675505</v>
      </c>
      <c r="N44" s="685">
        <f t="shared" si="5"/>
        <v>200617.80999999994</v>
      </c>
      <c r="O44" s="686">
        <f t="shared" si="6"/>
        <v>27940.795750351681</v>
      </c>
      <c r="P44" s="680" t="s">
        <v>1145</v>
      </c>
      <c r="Q44" s="613" t="s">
        <v>1148</v>
      </c>
      <c r="R44" s="670" t="s">
        <v>1123</v>
      </c>
      <c r="S44" s="595">
        <f t="shared" si="7"/>
        <v>27940.79088896211</v>
      </c>
    </row>
    <row r="45" spans="2:19" ht="11.25" customHeight="1">
      <c r="B45" s="639">
        <v>45342</v>
      </c>
      <c r="C45" s="741" t="s">
        <v>948</v>
      </c>
      <c r="D45" s="739"/>
      <c r="E45" s="740">
        <v>4</v>
      </c>
      <c r="F45" s="640" t="s">
        <v>107</v>
      </c>
      <c r="G45" s="640"/>
      <c r="H45" s="642"/>
      <c r="I45" s="641"/>
      <c r="J45" s="643"/>
      <c r="K45" s="710">
        <v>6672.19</v>
      </c>
      <c r="L45" s="612">
        <f>'통장내역(환율표)'!$D$161</f>
        <v>7.1807777538093465</v>
      </c>
      <c r="M45" s="765">
        <f t="shared" si="4"/>
        <v>929.17372306369668</v>
      </c>
      <c r="N45" s="685">
        <f t="shared" si="5"/>
        <v>193945.61999999994</v>
      </c>
      <c r="O45" s="686">
        <f t="shared" si="6"/>
        <v>27011.622027287984</v>
      </c>
      <c r="P45" s="680" t="s">
        <v>1145</v>
      </c>
      <c r="Q45" s="613" t="s">
        <v>1148</v>
      </c>
      <c r="R45" s="670" t="s">
        <v>1123</v>
      </c>
      <c r="S45" s="595">
        <f t="shared" si="7"/>
        <v>27011.617165898413</v>
      </c>
    </row>
    <row r="46" spans="2:19" ht="11.25" customHeight="1">
      <c r="B46" s="639">
        <v>45342</v>
      </c>
      <c r="C46" s="741" t="s">
        <v>899</v>
      </c>
      <c r="D46" s="739"/>
      <c r="E46" s="740">
        <v>4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'통장내역(환율표)'!$D$161</f>
        <v>7.1807777538093465</v>
      </c>
      <c r="M46" s="765">
        <f t="shared" si="4"/>
        <v>41.778204295607445</v>
      </c>
      <c r="N46" s="685">
        <f t="shared" si="5"/>
        <v>193645.61999999994</v>
      </c>
      <c r="O46" s="686">
        <f t="shared" si="6"/>
        <v>26969.843822992378</v>
      </c>
      <c r="P46" s="680" t="s">
        <v>1145</v>
      </c>
      <c r="Q46" s="613" t="s">
        <v>1148</v>
      </c>
      <c r="R46" s="670" t="s">
        <v>1123</v>
      </c>
      <c r="S46" s="595">
        <f t="shared" si="7"/>
        <v>26969.838961602807</v>
      </c>
    </row>
    <row r="47" spans="2:19" ht="11.25" customHeight="1">
      <c r="B47" s="639">
        <v>45342</v>
      </c>
      <c r="C47" s="741" t="s">
        <v>992</v>
      </c>
      <c r="D47" s="739"/>
      <c r="E47" s="740">
        <v>4</v>
      </c>
      <c r="F47" s="640" t="s">
        <v>107</v>
      </c>
      <c r="G47" s="640"/>
      <c r="H47" s="642"/>
      <c r="I47" s="641"/>
      <c r="J47" s="643"/>
      <c r="K47" s="710">
        <v>200</v>
      </c>
      <c r="L47" s="612">
        <f>'통장내역(환율표)'!$D$161</f>
        <v>7.1807777538093465</v>
      </c>
      <c r="M47" s="765">
        <f t="shared" si="4"/>
        <v>27.85213619707163</v>
      </c>
      <c r="N47" s="685">
        <f t="shared" si="5"/>
        <v>193445.61999999994</v>
      </c>
      <c r="O47" s="686">
        <f t="shared" si="6"/>
        <v>26941.991686795307</v>
      </c>
      <c r="P47" s="680" t="s">
        <v>1145</v>
      </c>
      <c r="Q47" s="613" t="s">
        <v>1148</v>
      </c>
      <c r="R47" s="670" t="s">
        <v>1123</v>
      </c>
      <c r="S47" s="595">
        <f t="shared" si="7"/>
        <v>26941.986825405736</v>
      </c>
    </row>
    <row r="48" spans="2:19" ht="11.25" customHeight="1">
      <c r="B48" s="639">
        <v>45342</v>
      </c>
      <c r="C48" s="728" t="s">
        <v>250</v>
      </c>
      <c r="D48" s="739"/>
      <c r="E48" s="740">
        <v>5</v>
      </c>
      <c r="F48" s="640" t="s">
        <v>107</v>
      </c>
      <c r="G48" s="640"/>
      <c r="H48" s="642"/>
      <c r="I48" s="641"/>
      <c r="J48" s="643"/>
      <c r="K48" s="772">
        <v>12</v>
      </c>
      <c r="L48" s="612">
        <f>'통장내역(환율표)'!$D$161</f>
        <v>7.1807777538093465</v>
      </c>
      <c r="M48" s="765">
        <f t="shared" si="4"/>
        <v>1.6711281718242976</v>
      </c>
      <c r="N48" s="685">
        <f t="shared" si="5"/>
        <v>193433.61999999994</v>
      </c>
      <c r="O48" s="686">
        <f t="shared" si="6"/>
        <v>26940.320558623484</v>
      </c>
      <c r="P48" s="680" t="s">
        <v>1145</v>
      </c>
      <c r="Q48" s="613" t="s">
        <v>1148</v>
      </c>
      <c r="R48" s="713"/>
      <c r="S48" s="595">
        <f t="shared" si="7"/>
        <v>26940.315697233913</v>
      </c>
    </row>
    <row r="49" spans="2:19" ht="11.25" customHeight="1">
      <c r="B49" s="639">
        <v>45342</v>
      </c>
      <c r="C49" s="642" t="s">
        <v>304</v>
      </c>
      <c r="D49" s="739"/>
      <c r="E49" s="740">
        <v>6</v>
      </c>
      <c r="F49" s="640" t="s">
        <v>105</v>
      </c>
      <c r="G49" s="640" t="s">
        <v>1131</v>
      </c>
      <c r="H49" s="642"/>
      <c r="I49" s="641"/>
      <c r="J49" s="643"/>
      <c r="K49" s="772">
        <f>20030.2-7.2</f>
        <v>20023</v>
      </c>
      <c r="L49" s="612">
        <f>'통장내역(환율표)'!$D$161</f>
        <v>7.1807777538093465</v>
      </c>
      <c r="M49" s="771">
        <v>2788.42</v>
      </c>
      <c r="N49" s="685">
        <f t="shared" si="5"/>
        <v>173410.61999999994</v>
      </c>
      <c r="O49" s="686">
        <f t="shared" si="6"/>
        <v>24151.900558623485</v>
      </c>
      <c r="P49" s="680" t="s">
        <v>1145</v>
      </c>
      <c r="Q49" s="613" t="s">
        <v>1148</v>
      </c>
      <c r="R49" s="713"/>
      <c r="S49" s="595">
        <f t="shared" si="7"/>
        <v>24151.895697233915</v>
      </c>
    </row>
    <row r="50" spans="2:19" ht="11.25" customHeight="1">
      <c r="B50" s="639">
        <v>45342</v>
      </c>
      <c r="C50" s="642" t="s">
        <v>445</v>
      </c>
      <c r="D50" s="739"/>
      <c r="E50" s="740">
        <v>7</v>
      </c>
      <c r="F50" s="640" t="s">
        <v>107</v>
      </c>
      <c r="G50" s="640"/>
      <c r="H50" s="642"/>
      <c r="I50" s="641"/>
      <c r="J50" s="643"/>
      <c r="K50" s="772">
        <v>7.2</v>
      </c>
      <c r="L50" s="612">
        <f>'통장내역(환율표)'!$D$161</f>
        <v>7.1807777538093465</v>
      </c>
      <c r="M50" s="765">
        <f t="shared" si="4"/>
        <v>1.0026769030945786</v>
      </c>
      <c r="N50" s="685">
        <f t="shared" si="5"/>
        <v>173403.41999999993</v>
      </c>
      <c r="O50" s="686">
        <f t="shared" si="6"/>
        <v>24150.89788172039</v>
      </c>
      <c r="P50" s="680" t="s">
        <v>1145</v>
      </c>
      <c r="Q50" s="613" t="s">
        <v>1148</v>
      </c>
      <c r="R50" s="713"/>
      <c r="S50" s="595">
        <f t="shared" si="7"/>
        <v>24150.893020330819</v>
      </c>
    </row>
    <row r="51" spans="2:19" ht="11.25" customHeight="1">
      <c r="B51" s="639">
        <v>45342</v>
      </c>
      <c r="C51" s="738" t="s">
        <v>699</v>
      </c>
      <c r="D51" s="739"/>
      <c r="E51" s="740">
        <v>8</v>
      </c>
      <c r="F51" s="640" t="s">
        <v>107</v>
      </c>
      <c r="G51" s="640"/>
      <c r="H51" s="642"/>
      <c r="I51" s="641"/>
      <c r="J51" s="643"/>
      <c r="K51" s="772">
        <v>237.16</v>
      </c>
      <c r="L51" s="612">
        <f>'통장내역(환율표)'!$D$161</f>
        <v>7.1807777538093465</v>
      </c>
      <c r="M51" s="765">
        <f t="shared" si="4"/>
        <v>33.027063102487539</v>
      </c>
      <c r="N51" s="685">
        <f t="shared" si="5"/>
        <v>173166.25999999992</v>
      </c>
      <c r="O51" s="686">
        <f t="shared" si="6"/>
        <v>24117.870818617903</v>
      </c>
      <c r="P51" s="680" t="s">
        <v>1145</v>
      </c>
      <c r="Q51" s="613" t="s">
        <v>1148</v>
      </c>
      <c r="R51" s="713"/>
      <c r="S51" s="595">
        <f t="shared" si="7"/>
        <v>24117.865957228332</v>
      </c>
    </row>
    <row r="52" spans="2:19" ht="11.25" customHeight="1">
      <c r="B52" s="639">
        <v>45342</v>
      </c>
      <c r="C52" s="642" t="s">
        <v>445</v>
      </c>
      <c r="D52" s="739"/>
      <c r="E52" s="740">
        <v>9</v>
      </c>
      <c r="F52" s="640" t="s">
        <v>107</v>
      </c>
      <c r="G52" s="640"/>
      <c r="H52" s="642"/>
      <c r="I52" s="641"/>
      <c r="J52" s="643"/>
      <c r="K52" s="772">
        <v>3.6</v>
      </c>
      <c r="L52" s="612">
        <f>'통장내역(환율표)'!$D$161</f>
        <v>7.1807777538093465</v>
      </c>
      <c r="M52" s="765">
        <f t="shared" si="4"/>
        <v>0.50133845154728929</v>
      </c>
      <c r="N52" s="685">
        <f t="shared" si="5"/>
        <v>173162.65999999992</v>
      </c>
      <c r="O52" s="686">
        <f t="shared" si="6"/>
        <v>24117.369480166355</v>
      </c>
      <c r="P52" s="680" t="s">
        <v>1145</v>
      </c>
      <c r="Q52" s="613" t="s">
        <v>1148</v>
      </c>
      <c r="R52" s="713"/>
      <c r="S52" s="595">
        <f t="shared" si="7"/>
        <v>24117.364618776784</v>
      </c>
    </row>
    <row r="53" spans="2:19" ht="11.25" customHeight="1">
      <c r="B53" s="639">
        <v>45342</v>
      </c>
      <c r="C53" s="741" t="s">
        <v>305</v>
      </c>
      <c r="D53" s="739"/>
      <c r="E53" s="740">
        <v>10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'통장내역(환율표)'!$D$161</f>
        <v>7.1807777538093465</v>
      </c>
      <c r="M53" s="771">
        <v>1462.24</v>
      </c>
      <c r="N53" s="685">
        <f t="shared" si="5"/>
        <v>162662.65999999992</v>
      </c>
      <c r="O53" s="686">
        <f t="shared" si="6"/>
        <v>22655.129480166353</v>
      </c>
      <c r="P53" s="680" t="s">
        <v>1145</v>
      </c>
      <c r="Q53" s="613" t="s">
        <v>1148</v>
      </c>
      <c r="R53" s="713"/>
      <c r="S53" s="595">
        <f t="shared" si="7"/>
        <v>22655.124618776783</v>
      </c>
    </row>
    <row r="54" spans="2:19" ht="11.25" customHeight="1">
      <c r="B54" s="639">
        <v>45342</v>
      </c>
      <c r="C54" s="741" t="s">
        <v>1116</v>
      </c>
      <c r="D54" s="739"/>
      <c r="E54" s="740">
        <v>11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'통장내역(환율표)'!$D$161</f>
        <v>7.1807777538093465</v>
      </c>
      <c r="M54" s="765">
        <f t="shared" si="4"/>
        <v>835.56408591214881</v>
      </c>
      <c r="N54" s="759">
        <f t="shared" si="5"/>
        <v>156662.65999999992</v>
      </c>
      <c r="O54" s="760">
        <f t="shared" si="6"/>
        <v>21819.565394254205</v>
      </c>
      <c r="P54" s="761" t="s">
        <v>1145</v>
      </c>
      <c r="Q54" s="713" t="s">
        <v>1148</v>
      </c>
      <c r="R54" s="713"/>
      <c r="S54" s="595">
        <f t="shared" si="7"/>
        <v>21819.560532864634</v>
      </c>
    </row>
    <row r="55" spans="2:19" ht="11.25" customHeight="1">
      <c r="B55" s="639">
        <v>45342</v>
      </c>
      <c r="C55" s="741" t="s">
        <v>1117</v>
      </c>
      <c r="D55" s="739"/>
      <c r="E55" s="740">
        <v>12</v>
      </c>
      <c r="F55" s="640" t="s">
        <v>107</v>
      </c>
      <c r="G55" s="640"/>
      <c r="H55" s="642"/>
      <c r="I55" s="758"/>
      <c r="J55" s="643"/>
      <c r="K55" s="772">
        <v>560</v>
      </c>
      <c r="L55" s="612">
        <f>'통장내역(환율표)'!$D$161</f>
        <v>7.1807777538093465</v>
      </c>
      <c r="M55" s="765">
        <f t="shared" si="4"/>
        <v>77.985981351800561</v>
      </c>
      <c r="N55" s="759">
        <f t="shared" si="5"/>
        <v>156102.65999999992</v>
      </c>
      <c r="O55" s="760">
        <f t="shared" si="6"/>
        <v>21741.579412902403</v>
      </c>
      <c r="P55" s="761" t="s">
        <v>1145</v>
      </c>
      <c r="Q55" s="713" t="s">
        <v>1148</v>
      </c>
      <c r="R55" s="713"/>
      <c r="S55" s="595">
        <f t="shared" si="7"/>
        <v>21741.574551512833</v>
      </c>
    </row>
    <row r="56" spans="2:19" ht="11.25" customHeight="1">
      <c r="B56" s="639">
        <v>45342</v>
      </c>
      <c r="C56" s="741" t="s">
        <v>305</v>
      </c>
      <c r="D56" s="739"/>
      <c r="E56" s="740">
        <v>13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'통장내역(환율표)'!$D$161</f>
        <v>7.1807777538093465</v>
      </c>
      <c r="M56" s="765">
        <f t="shared" si="4"/>
        <v>974.82476689750695</v>
      </c>
      <c r="N56" s="759">
        <f t="shared" si="5"/>
        <v>149102.65999999992</v>
      </c>
      <c r="O56" s="760">
        <f t="shared" si="6"/>
        <v>20766.754646004898</v>
      </c>
      <c r="P56" s="761" t="s">
        <v>1145</v>
      </c>
      <c r="Q56" s="713" t="s">
        <v>1148</v>
      </c>
      <c r="R56" s="713"/>
      <c r="S56" s="595">
        <f t="shared" si="7"/>
        <v>20766.749784615327</v>
      </c>
    </row>
    <row r="57" spans="2:19" ht="11.25" customHeight="1">
      <c r="B57" s="639">
        <v>45342</v>
      </c>
      <c r="C57" s="741" t="s">
        <v>1116</v>
      </c>
      <c r="D57" s="739"/>
      <c r="E57" s="740">
        <v>14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'통장내역(환율표)'!$D$161</f>
        <v>7.1807777538093465</v>
      </c>
      <c r="M57" s="765">
        <f t="shared" si="4"/>
        <v>835.56408591214881</v>
      </c>
      <c r="N57" s="759">
        <f t="shared" si="5"/>
        <v>143102.65999999992</v>
      </c>
      <c r="O57" s="760">
        <f t="shared" si="6"/>
        <v>19931.190560092749</v>
      </c>
      <c r="P57" s="761" t="s">
        <v>1145</v>
      </c>
      <c r="Q57" s="713" t="s">
        <v>1148</v>
      </c>
      <c r="R57" s="713"/>
      <c r="S57" s="595">
        <f t="shared" si="7"/>
        <v>19931.185698703179</v>
      </c>
    </row>
    <row r="58" spans="2:19" ht="11.25" customHeight="1">
      <c r="B58" s="639">
        <v>45342</v>
      </c>
      <c r="C58" s="741" t="s">
        <v>1117</v>
      </c>
      <c r="D58" s="739"/>
      <c r="E58" s="740">
        <v>15</v>
      </c>
      <c r="F58" s="640" t="s">
        <v>107</v>
      </c>
      <c r="G58" s="640"/>
      <c r="H58" s="642"/>
      <c r="I58" s="758"/>
      <c r="J58" s="643"/>
      <c r="K58" s="772">
        <v>360</v>
      </c>
      <c r="L58" s="612">
        <f>'통장내역(환율표)'!$D$161</f>
        <v>7.1807777538093465</v>
      </c>
      <c r="M58" s="765">
        <f t="shared" si="4"/>
        <v>50.133845154728931</v>
      </c>
      <c r="N58" s="759">
        <f t="shared" si="5"/>
        <v>142742.65999999992</v>
      </c>
      <c r="O58" s="760">
        <f t="shared" si="6"/>
        <v>19881.056714938022</v>
      </c>
      <c r="P58" s="761" t="s">
        <v>1145</v>
      </c>
      <c r="Q58" s="713" t="s">
        <v>1148</v>
      </c>
      <c r="R58" s="713"/>
      <c r="S58" s="595">
        <f t="shared" si="7"/>
        <v>19881.051853548452</v>
      </c>
    </row>
    <row r="59" spans="2:19" ht="11.25" customHeight="1">
      <c r="B59" s="639">
        <v>45342</v>
      </c>
      <c r="C59" s="642" t="s">
        <v>445</v>
      </c>
      <c r="D59" s="739"/>
      <c r="E59" s="740">
        <v>16</v>
      </c>
      <c r="F59" s="640" t="s">
        <v>107</v>
      </c>
      <c r="G59" s="640"/>
      <c r="H59" s="642"/>
      <c r="I59" s="758"/>
      <c r="J59" s="643"/>
      <c r="K59" s="772">
        <v>7.2</v>
      </c>
      <c r="L59" s="612">
        <f>'통장내역(환율표)'!$D$161</f>
        <v>7.1807777538093465</v>
      </c>
      <c r="M59" s="765">
        <f t="shared" si="4"/>
        <v>1.0026769030945786</v>
      </c>
      <c r="N59" s="759">
        <f t="shared" si="5"/>
        <v>142735.4599999999</v>
      </c>
      <c r="O59" s="760">
        <f t="shared" si="6"/>
        <v>19880.054038034927</v>
      </c>
      <c r="P59" s="761" t="s">
        <v>1145</v>
      </c>
      <c r="Q59" s="713" t="s">
        <v>1148</v>
      </c>
      <c r="R59" s="713"/>
      <c r="S59" s="595">
        <f t="shared" si="7"/>
        <v>19880.049176645356</v>
      </c>
    </row>
    <row r="60" spans="2:19" ht="11.25" customHeight="1">
      <c r="B60" s="639">
        <v>45342</v>
      </c>
      <c r="C60" s="728" t="s">
        <v>1008</v>
      </c>
      <c r="D60" s="739"/>
      <c r="E60" s="740">
        <v>17</v>
      </c>
      <c r="F60" s="640" t="s">
        <v>146</v>
      </c>
      <c r="G60" s="640" t="s">
        <v>147</v>
      </c>
      <c r="H60" s="642"/>
      <c r="I60" s="758"/>
      <c r="J60" s="643"/>
      <c r="K60" s="772">
        <v>1431</v>
      </c>
      <c r="L60" s="612">
        <f>'통장내역(환율표)'!$D$161</f>
        <v>7.1807777538093465</v>
      </c>
      <c r="M60" s="765">
        <f t="shared" si="4"/>
        <v>199.28203449004749</v>
      </c>
      <c r="N60" s="759">
        <f t="shared" si="5"/>
        <v>141304.4599999999</v>
      </c>
      <c r="O60" s="760">
        <f t="shared" si="6"/>
        <v>19680.77200354488</v>
      </c>
      <c r="P60" s="761" t="s">
        <v>1145</v>
      </c>
      <c r="Q60" s="713" t="s">
        <v>1148</v>
      </c>
      <c r="R60" s="713"/>
      <c r="S60" s="595">
        <f t="shared" si="7"/>
        <v>19680.76714215531</v>
      </c>
    </row>
    <row r="61" spans="2:19" ht="11.25" customHeight="1">
      <c r="B61" s="639">
        <v>45342</v>
      </c>
      <c r="C61" s="728" t="s">
        <v>1006</v>
      </c>
      <c r="D61" s="739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72">
        <v>1212</v>
      </c>
      <c r="L61" s="612">
        <f>'통장내역(환율표)'!$D$161</f>
        <v>7.1807777538093465</v>
      </c>
      <c r="M61" s="765">
        <f t="shared" si="4"/>
        <v>168.78394535425406</v>
      </c>
      <c r="N61" s="759">
        <f t="shared" si="5"/>
        <v>140092.4599999999</v>
      </c>
      <c r="O61" s="760">
        <f t="shared" si="6"/>
        <v>19511.988058190625</v>
      </c>
      <c r="P61" s="761" t="s">
        <v>1145</v>
      </c>
      <c r="Q61" s="713" t="s">
        <v>1148</v>
      </c>
      <c r="R61" s="713"/>
      <c r="S61" s="595">
        <f t="shared" si="7"/>
        <v>19511.983196801055</v>
      </c>
    </row>
    <row r="62" spans="2:19" ht="11.25" customHeight="1">
      <c r="B62" s="639">
        <v>45342</v>
      </c>
      <c r="C62" s="728" t="s">
        <v>1007</v>
      </c>
      <c r="D62" s="739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72">
        <v>128</v>
      </c>
      <c r="L62" s="612">
        <f>'통장내역(환율표)'!$D$161</f>
        <v>7.1807777538093465</v>
      </c>
      <c r="M62" s="771">
        <v>17.829999999999998</v>
      </c>
      <c r="N62" s="759">
        <f t="shared" si="5"/>
        <v>139964.4599999999</v>
      </c>
      <c r="O62" s="760">
        <f t="shared" si="6"/>
        <v>19494.158058190624</v>
      </c>
      <c r="P62" s="761" t="s">
        <v>1145</v>
      </c>
      <c r="Q62" s="713" t="s">
        <v>1148</v>
      </c>
      <c r="R62" s="713"/>
      <c r="S62" s="595">
        <f t="shared" si="7"/>
        <v>19494.153196801053</v>
      </c>
    </row>
    <row r="63" spans="2:19" ht="11.25" customHeight="1">
      <c r="B63" s="639">
        <v>45342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772">
        <v>3.6</v>
      </c>
      <c r="L63" s="612">
        <f>'통장내역(환율표)'!$D$161</f>
        <v>7.1807777538093465</v>
      </c>
      <c r="M63" s="765">
        <f t="shared" si="4"/>
        <v>0.50133845154728929</v>
      </c>
      <c r="N63" s="759">
        <f t="shared" si="5"/>
        <v>139960.8599999999</v>
      </c>
      <c r="O63" s="760">
        <f t="shared" si="6"/>
        <v>19493.656719739076</v>
      </c>
      <c r="P63" s="761" t="s">
        <v>1145</v>
      </c>
      <c r="Q63" s="713" t="s">
        <v>1148</v>
      </c>
      <c r="R63" s="713"/>
      <c r="S63" s="595">
        <f t="shared" si="7"/>
        <v>19493.651858349505</v>
      </c>
    </row>
    <row r="64" spans="2:19" ht="11.25" customHeight="1">
      <c r="B64" s="639">
        <v>45342</v>
      </c>
      <c r="C64" s="728" t="s">
        <v>250</v>
      </c>
      <c r="D64" s="739"/>
      <c r="E64" s="740">
        <v>21</v>
      </c>
      <c r="F64" s="640" t="s">
        <v>107</v>
      </c>
      <c r="G64" s="640"/>
      <c r="H64" s="642"/>
      <c r="I64" s="758"/>
      <c r="J64" s="643"/>
      <c r="K64" s="772">
        <v>3.6</v>
      </c>
      <c r="L64" s="612">
        <f>'통장내역(환율표)'!$D$161</f>
        <v>7.1807777538093465</v>
      </c>
      <c r="M64" s="765">
        <f t="shared" si="4"/>
        <v>0.50133845154728929</v>
      </c>
      <c r="N64" s="759">
        <f t="shared" si="5"/>
        <v>139957.25999999989</v>
      </c>
      <c r="O64" s="760">
        <f t="shared" si="6"/>
        <v>19493.155381287528</v>
      </c>
      <c r="P64" s="761" t="s">
        <v>1145</v>
      </c>
      <c r="Q64" s="713" t="s">
        <v>1148</v>
      </c>
      <c r="R64" s="713" t="s">
        <v>1142</v>
      </c>
      <c r="S64" s="595">
        <f t="shared" si="7"/>
        <v>19493.150519897958</v>
      </c>
    </row>
    <row r="65" spans="2:19" ht="11.25" customHeight="1">
      <c r="B65" s="639">
        <v>45342</v>
      </c>
      <c r="C65" s="728" t="s">
        <v>1024</v>
      </c>
      <c r="D65" s="739"/>
      <c r="E65" s="740">
        <v>22</v>
      </c>
      <c r="F65" s="640" t="s">
        <v>125</v>
      </c>
      <c r="G65" s="640" t="s">
        <v>145</v>
      </c>
      <c r="H65" s="642"/>
      <c r="I65" s="758"/>
      <c r="J65" s="643"/>
      <c r="K65" s="772">
        <v>3819.2</v>
      </c>
      <c r="L65" s="612">
        <f>'통장내역(환율표)'!$D$161</f>
        <v>7.1807777538093465</v>
      </c>
      <c r="M65" s="765">
        <f t="shared" si="4"/>
        <v>531.86439281927983</v>
      </c>
      <c r="N65" s="759">
        <f t="shared" si="5"/>
        <v>136138.05999999988</v>
      </c>
      <c r="O65" s="760">
        <f t="shared" si="6"/>
        <v>18961.290988468249</v>
      </c>
      <c r="P65" s="761" t="s">
        <v>1145</v>
      </c>
      <c r="Q65" s="713" t="s">
        <v>1148</v>
      </c>
      <c r="R65" s="713"/>
      <c r="S65" s="595">
        <f t="shared" si="7"/>
        <v>18961.286127078678</v>
      </c>
    </row>
    <row r="66" spans="2:19" ht="11.25" customHeight="1">
      <c r="B66" s="639">
        <v>45342</v>
      </c>
      <c r="C66" s="728" t="s">
        <v>1143</v>
      </c>
      <c r="D66" s="739"/>
      <c r="E66" s="740">
        <v>23</v>
      </c>
      <c r="F66" s="640" t="s">
        <v>125</v>
      </c>
      <c r="G66" s="640" t="s">
        <v>145</v>
      </c>
      <c r="H66" s="642"/>
      <c r="I66" s="758"/>
      <c r="J66" s="643"/>
      <c r="K66" s="772">
        <v>5568</v>
      </c>
      <c r="L66" s="612">
        <f>'통장내역(환율표)'!$D$161</f>
        <v>7.1807777538093465</v>
      </c>
      <c r="M66" s="765">
        <f t="shared" si="4"/>
        <v>775.40347172647409</v>
      </c>
      <c r="N66" s="759">
        <f t="shared" si="5"/>
        <v>130570.05999999988</v>
      </c>
      <c r="O66" s="760">
        <f t="shared" si="6"/>
        <v>18185.887516741775</v>
      </c>
      <c r="P66" s="761" t="s">
        <v>1145</v>
      </c>
      <c r="Q66" s="713" t="s">
        <v>1148</v>
      </c>
      <c r="R66" s="713"/>
      <c r="S66" s="595">
        <f t="shared" si="7"/>
        <v>18185.882655352205</v>
      </c>
    </row>
    <row r="67" spans="2:19" ht="11.25" customHeight="1">
      <c r="B67" s="639">
        <v>45342</v>
      </c>
      <c r="C67" s="728" t="s">
        <v>1103</v>
      </c>
      <c r="D67" s="739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72">
        <v>2645.69</v>
      </c>
      <c r="L67" s="612">
        <f>'통장내역(환율표)'!$D$161</f>
        <v>7.1807777538093465</v>
      </c>
      <c r="M67" s="765">
        <f t="shared" si="4"/>
        <v>368.4405910761522</v>
      </c>
      <c r="N67" s="759">
        <f t="shared" si="5"/>
        <v>127924.36999999988</v>
      </c>
      <c r="O67" s="760">
        <f t="shared" si="6"/>
        <v>17817.446925665623</v>
      </c>
      <c r="P67" s="761" t="s">
        <v>1145</v>
      </c>
      <c r="Q67" s="713" t="s">
        <v>1148</v>
      </c>
      <c r="R67" s="713"/>
      <c r="S67" s="595">
        <f t="shared" si="7"/>
        <v>17817.442064276052</v>
      </c>
    </row>
    <row r="68" spans="2:19" ht="11.25" customHeight="1">
      <c r="B68" s="639">
        <v>45342</v>
      </c>
      <c r="C68" s="728" t="s">
        <v>1104</v>
      </c>
      <c r="D68" s="739"/>
      <c r="E68" s="740">
        <v>25</v>
      </c>
      <c r="F68" s="640" t="s">
        <v>146</v>
      </c>
      <c r="G68" s="640" t="s">
        <v>147</v>
      </c>
      <c r="H68" s="642"/>
      <c r="I68" s="758"/>
      <c r="J68" s="643"/>
      <c r="K68" s="772">
        <v>524.79</v>
      </c>
      <c r="L68" s="612">
        <f>'통장내역(환율표)'!$D$161</f>
        <v>7.1807777538093465</v>
      </c>
      <c r="M68" s="765">
        <f t="shared" si="4"/>
        <v>73.082612774306099</v>
      </c>
      <c r="N68" s="759">
        <f t="shared" si="5"/>
        <v>127399.57999999989</v>
      </c>
      <c r="O68" s="760">
        <f t="shared" si="6"/>
        <v>17744.364312891317</v>
      </c>
      <c r="P68" s="761" t="s">
        <v>1145</v>
      </c>
      <c r="Q68" s="713" t="s">
        <v>1148</v>
      </c>
      <c r="R68" s="713"/>
      <c r="S68" s="595">
        <f t="shared" si="7"/>
        <v>17744.359451501747</v>
      </c>
    </row>
    <row r="69" spans="2:19" ht="11.25" customHeight="1">
      <c r="B69" s="639">
        <v>45342</v>
      </c>
      <c r="C69" s="728" t="s">
        <v>250</v>
      </c>
      <c r="D69" s="739"/>
      <c r="E69" s="740">
        <v>26</v>
      </c>
      <c r="F69" s="640" t="s">
        <v>107</v>
      </c>
      <c r="G69" s="640"/>
      <c r="H69" s="642"/>
      <c r="I69" s="758"/>
      <c r="J69" s="643"/>
      <c r="K69" s="772">
        <v>7.2</v>
      </c>
      <c r="L69" s="612">
        <f>'통장내역(환율표)'!$D$161</f>
        <v>7.1807777538093465</v>
      </c>
      <c r="M69" s="765">
        <f t="shared" si="4"/>
        <v>1.0026769030945786</v>
      </c>
      <c r="N69" s="759">
        <f t="shared" si="5"/>
        <v>127392.37999999989</v>
      </c>
      <c r="O69" s="760">
        <f t="shared" si="6"/>
        <v>17743.361635988222</v>
      </c>
      <c r="P69" s="761" t="s">
        <v>1145</v>
      </c>
      <c r="Q69" s="713" t="s">
        <v>1148</v>
      </c>
      <c r="R69" s="713"/>
      <c r="S69" s="595">
        <f t="shared" si="7"/>
        <v>17743.356774598651</v>
      </c>
    </row>
    <row r="70" spans="2:19" ht="11.25" customHeight="1">
      <c r="B70" s="639">
        <v>45342</v>
      </c>
      <c r="C70" s="728" t="s">
        <v>1099</v>
      </c>
      <c r="D70" s="739"/>
      <c r="E70" s="740">
        <v>27</v>
      </c>
      <c r="F70" s="640" t="s">
        <v>146</v>
      </c>
      <c r="G70" s="640" t="s">
        <v>147</v>
      </c>
      <c r="H70" s="642"/>
      <c r="I70" s="758"/>
      <c r="J70" s="643"/>
      <c r="K70" s="772">
        <v>296.33999999999997</v>
      </c>
      <c r="L70" s="612">
        <f>'통장내역(환율표)'!$D$161</f>
        <v>7.1807777538093465</v>
      </c>
      <c r="M70" s="765">
        <f t="shared" si="4"/>
        <v>41.268510203201025</v>
      </c>
      <c r="N70" s="759">
        <f t="shared" si="5"/>
        <v>127096.03999999989</v>
      </c>
      <c r="O70" s="760">
        <f t="shared" si="6"/>
        <v>17702.093125785021</v>
      </c>
      <c r="P70" s="761" t="s">
        <v>1145</v>
      </c>
      <c r="Q70" s="713" t="s">
        <v>1148</v>
      </c>
      <c r="R70" s="713"/>
      <c r="S70" s="595">
        <f t="shared" si="7"/>
        <v>17702.08826439545</v>
      </c>
    </row>
    <row r="71" spans="2:19" ht="11.25" customHeight="1">
      <c r="B71" s="639">
        <v>45342</v>
      </c>
      <c r="C71" s="728" t="s">
        <v>1098</v>
      </c>
      <c r="D71" s="739"/>
      <c r="E71" s="740">
        <v>28</v>
      </c>
      <c r="F71" s="640" t="s">
        <v>146</v>
      </c>
      <c r="G71" s="640" t="s">
        <v>147</v>
      </c>
      <c r="H71" s="642"/>
      <c r="I71" s="758"/>
      <c r="J71" s="643"/>
      <c r="K71" s="772">
        <v>310</v>
      </c>
      <c r="L71" s="612">
        <f>'통장내역(환율표)'!$D$161</f>
        <v>7.1807777538093465</v>
      </c>
      <c r="M71" s="765">
        <f t="shared" si="4"/>
        <v>43.170811105461027</v>
      </c>
      <c r="N71" s="759">
        <f t="shared" si="5"/>
        <v>126786.03999999989</v>
      </c>
      <c r="O71" s="760">
        <f t="shared" si="6"/>
        <v>17658.922314679559</v>
      </c>
      <c r="P71" s="761" t="s">
        <v>1145</v>
      </c>
      <c r="Q71" s="713" t="s">
        <v>1148</v>
      </c>
      <c r="R71" s="713"/>
      <c r="S71" s="595">
        <f t="shared" si="7"/>
        <v>17658.917453289989</v>
      </c>
    </row>
    <row r="72" spans="2:19" ht="11.25" customHeight="1">
      <c r="B72" s="639">
        <v>45342</v>
      </c>
      <c r="C72" s="728" t="s">
        <v>1016</v>
      </c>
      <c r="D72" s="739"/>
      <c r="E72" s="740">
        <v>29</v>
      </c>
      <c r="F72" s="640" t="s">
        <v>107</v>
      </c>
      <c r="G72" s="640"/>
      <c r="H72" s="642"/>
      <c r="I72" s="758"/>
      <c r="J72" s="643"/>
      <c r="K72" s="772">
        <v>51</v>
      </c>
      <c r="L72" s="612">
        <f>'통장내역(환율표)'!$D$161</f>
        <v>7.1807777538093465</v>
      </c>
      <c r="M72" s="765">
        <f t="shared" si="4"/>
        <v>7.1022947302532655</v>
      </c>
      <c r="N72" s="759">
        <f t="shared" si="5"/>
        <v>126735.03999999989</v>
      </c>
      <c r="O72" s="760">
        <f t="shared" si="6"/>
        <v>17651.820019949308</v>
      </c>
      <c r="P72" s="761" t="s">
        <v>1145</v>
      </c>
      <c r="Q72" s="713" t="s">
        <v>1148</v>
      </c>
      <c r="R72" s="713"/>
      <c r="S72" s="595">
        <f t="shared" si="7"/>
        <v>17651.815158559737</v>
      </c>
    </row>
    <row r="73" spans="2:19" ht="11.25" customHeight="1">
      <c r="B73" s="639">
        <v>45342</v>
      </c>
      <c r="C73" s="728" t="s">
        <v>250</v>
      </c>
      <c r="D73" s="739"/>
      <c r="E73" s="740">
        <v>30</v>
      </c>
      <c r="F73" s="640" t="s">
        <v>107</v>
      </c>
      <c r="G73" s="640"/>
      <c r="H73" s="642"/>
      <c r="I73" s="758"/>
      <c r="J73" s="643"/>
      <c r="K73" s="709">
        <v>3.6</v>
      </c>
      <c r="L73" s="612">
        <f>'통장내역(환율표)'!$D$161</f>
        <v>7.1807777538093465</v>
      </c>
      <c r="M73" s="765">
        <f t="shared" si="4"/>
        <v>0.50133845154728929</v>
      </c>
      <c r="N73" s="759">
        <f t="shared" si="5"/>
        <v>126731.43999999989</v>
      </c>
      <c r="O73" s="760">
        <f t="shared" si="6"/>
        <v>17651.31868149776</v>
      </c>
      <c r="P73" s="761" t="s">
        <v>1145</v>
      </c>
      <c r="Q73" s="713" t="s">
        <v>1148</v>
      </c>
      <c r="R73" s="713"/>
      <c r="S73" s="595">
        <f t="shared" si="7"/>
        <v>17651.313820108189</v>
      </c>
    </row>
    <row r="74" spans="2:19" ht="11.25" customHeight="1">
      <c r="B74" s="639">
        <v>45342</v>
      </c>
      <c r="C74" s="728" t="s">
        <v>1108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709">
        <v>664.58</v>
      </c>
      <c r="L74" s="612">
        <f>'통장내역(환율표)'!$D$161</f>
        <v>7.1807777538093465</v>
      </c>
      <c r="M74" s="765">
        <f t="shared" si="4"/>
        <v>92.549863369249323</v>
      </c>
      <c r="N74" s="759">
        <f t="shared" si="5"/>
        <v>126066.85999999988</v>
      </c>
      <c r="O74" s="760">
        <f t="shared" si="6"/>
        <v>17558.768818128512</v>
      </c>
      <c r="P74" s="761" t="s">
        <v>1145</v>
      </c>
      <c r="Q74" s="713" t="s">
        <v>1148</v>
      </c>
      <c r="R74" s="713"/>
      <c r="S74" s="595">
        <f t="shared" si="7"/>
        <v>17558.763956738941</v>
      </c>
    </row>
    <row r="75" spans="2:19" ht="11.25" customHeight="1">
      <c r="B75" s="639">
        <v>45342</v>
      </c>
      <c r="C75" s="728" t="s">
        <v>854</v>
      </c>
      <c r="D75" s="739"/>
      <c r="E75" s="740">
        <v>32</v>
      </c>
      <c r="F75" s="640" t="s">
        <v>116</v>
      </c>
      <c r="G75" s="640" t="s">
        <v>140</v>
      </c>
      <c r="H75" s="642"/>
      <c r="I75" s="758"/>
      <c r="J75" s="643"/>
      <c r="K75" s="772">
        <v>499</v>
      </c>
      <c r="L75" s="612">
        <f>'통장내역(환율표)'!$D$161</f>
        <v>7.1807777538093465</v>
      </c>
      <c r="M75" s="765">
        <f t="shared" si="4"/>
        <v>69.491079811693709</v>
      </c>
      <c r="N75" s="759">
        <f t="shared" si="5"/>
        <v>125567.85999999988</v>
      </c>
      <c r="O75" s="760">
        <f t="shared" si="6"/>
        <v>17489.277738316818</v>
      </c>
      <c r="P75" s="761" t="s">
        <v>1145</v>
      </c>
      <c r="Q75" s="713" t="s">
        <v>1148</v>
      </c>
      <c r="R75" s="713"/>
      <c r="S75" s="595">
        <f t="shared" si="7"/>
        <v>17489.272876927247</v>
      </c>
    </row>
    <row r="76" spans="2:19" ht="11.25" customHeight="1">
      <c r="B76" s="639">
        <v>45342</v>
      </c>
      <c r="C76" s="728" t="s">
        <v>1109</v>
      </c>
      <c r="D76" s="739"/>
      <c r="E76" s="740">
        <v>33</v>
      </c>
      <c r="F76" s="640" t="s">
        <v>116</v>
      </c>
      <c r="G76" s="640" t="s">
        <v>140</v>
      </c>
      <c r="H76" s="642"/>
      <c r="I76" s="758"/>
      <c r="J76" s="643"/>
      <c r="K76" s="709">
        <v>398</v>
      </c>
      <c r="L76" s="612">
        <f>'통장내역(환율표)'!$D$161</f>
        <v>7.1807777538093465</v>
      </c>
      <c r="M76" s="771">
        <v>55.43</v>
      </c>
      <c r="N76" s="759">
        <f t="shared" si="5"/>
        <v>125169.85999999988</v>
      </c>
      <c r="O76" s="760">
        <f t="shared" si="6"/>
        <v>17433.847738316817</v>
      </c>
      <c r="P76" s="761" t="s">
        <v>1145</v>
      </c>
      <c r="Q76" s="713" t="s">
        <v>1148</v>
      </c>
      <c r="R76" s="713"/>
      <c r="S76" s="595">
        <f t="shared" si="7"/>
        <v>17433.842876927247</v>
      </c>
    </row>
    <row r="77" spans="2:19" ht="11.25" customHeight="1">
      <c r="B77" s="639">
        <v>45342</v>
      </c>
      <c r="C77" s="728" t="s">
        <v>1107</v>
      </c>
      <c r="D77" s="739"/>
      <c r="E77" s="740">
        <v>34</v>
      </c>
      <c r="F77" s="640" t="s">
        <v>146</v>
      </c>
      <c r="G77" s="640" t="s">
        <v>147</v>
      </c>
      <c r="H77" s="642"/>
      <c r="I77" s="758"/>
      <c r="J77" s="643"/>
      <c r="K77" s="709">
        <v>4855.6899999999996</v>
      </c>
      <c r="L77" s="612">
        <f>'통장내역(환율표)'!$D$161</f>
        <v>7.1807777538093465</v>
      </c>
      <c r="M77" s="765">
        <f t="shared" si="4"/>
        <v>676.20669605379362</v>
      </c>
      <c r="N77" s="759">
        <f t="shared" si="5"/>
        <v>120314.16999999988</v>
      </c>
      <c r="O77" s="760">
        <f t="shared" si="6"/>
        <v>16757.641042263025</v>
      </c>
      <c r="P77" s="761" t="s">
        <v>1145</v>
      </c>
      <c r="Q77" s="713" t="s">
        <v>1148</v>
      </c>
      <c r="R77" s="713"/>
      <c r="S77" s="595">
        <f t="shared" si="7"/>
        <v>16757.636180873455</v>
      </c>
    </row>
    <row r="78" spans="2:19" ht="11.25" customHeight="1">
      <c r="B78" s="639">
        <v>45342</v>
      </c>
      <c r="C78" s="728" t="s">
        <v>845</v>
      </c>
      <c r="D78" s="739"/>
      <c r="E78" s="740">
        <v>35</v>
      </c>
      <c r="F78" s="640" t="s">
        <v>125</v>
      </c>
      <c r="G78" s="640" t="s">
        <v>145</v>
      </c>
      <c r="H78" s="642"/>
      <c r="I78" s="758"/>
      <c r="J78" s="643"/>
      <c r="K78" s="709">
        <v>1644.8</v>
      </c>
      <c r="L78" s="612">
        <f>'통장내역(환율표)'!$D$161</f>
        <v>7.1807777538093465</v>
      </c>
      <c r="M78" s="765">
        <v>229.06</v>
      </c>
      <c r="N78" s="759">
        <f t="shared" si="5"/>
        <v>118669.36999999988</v>
      </c>
      <c r="O78" s="760">
        <f t="shared" si="6"/>
        <v>16528.581042263024</v>
      </c>
      <c r="P78" s="761" t="s">
        <v>1145</v>
      </c>
      <c r="Q78" s="713" t="s">
        <v>1148</v>
      </c>
      <c r="R78" s="713"/>
      <c r="S78" s="595">
        <f t="shared" si="7"/>
        <v>16528.576180873453</v>
      </c>
    </row>
    <row r="79" spans="2:19" ht="11.25" customHeight="1">
      <c r="B79" s="639">
        <v>45342</v>
      </c>
      <c r="C79" s="728" t="s">
        <v>1144</v>
      </c>
      <c r="D79" s="739"/>
      <c r="E79" s="740">
        <v>36</v>
      </c>
      <c r="F79" s="640" t="s">
        <v>125</v>
      </c>
      <c r="G79" s="640" t="s">
        <v>145</v>
      </c>
      <c r="H79" s="642"/>
      <c r="I79" s="758"/>
      <c r="J79" s="643"/>
      <c r="K79" s="709">
        <v>6000</v>
      </c>
      <c r="L79" s="612">
        <f>'통장내역(환율표)'!$D$161</f>
        <v>7.1807777538093465</v>
      </c>
      <c r="M79" s="765">
        <f t="shared" si="4"/>
        <v>835.56408591214881</v>
      </c>
      <c r="N79" s="759">
        <f t="shared" si="5"/>
        <v>112669.36999999988</v>
      </c>
      <c r="O79" s="760">
        <f t="shared" si="6"/>
        <v>15693.016956350875</v>
      </c>
      <c r="P79" s="761" t="s">
        <v>1145</v>
      </c>
      <c r="Q79" s="713" t="s">
        <v>1148</v>
      </c>
      <c r="R79" s="713"/>
      <c r="S79" s="595">
        <f t="shared" si="7"/>
        <v>15693.012094961305</v>
      </c>
    </row>
    <row r="80" spans="2:19" ht="11.25" customHeight="1">
      <c r="B80" s="639">
        <v>45342</v>
      </c>
      <c r="C80" s="728" t="s">
        <v>844</v>
      </c>
      <c r="D80" s="739"/>
      <c r="E80" s="740">
        <v>37</v>
      </c>
      <c r="F80" s="640" t="s">
        <v>146</v>
      </c>
      <c r="G80" s="640" t="s">
        <v>147</v>
      </c>
      <c r="H80" s="642"/>
      <c r="I80" s="758"/>
      <c r="J80" s="643"/>
      <c r="K80" s="709">
        <v>300.73</v>
      </c>
      <c r="L80" s="612">
        <f>'통장내역(환율표)'!$D$161</f>
        <v>7.1807777538093465</v>
      </c>
      <c r="M80" s="765">
        <f t="shared" si="4"/>
        <v>41.879864592726754</v>
      </c>
      <c r="N80" s="759">
        <f t="shared" si="5"/>
        <v>112368.63999999988</v>
      </c>
      <c r="O80" s="760">
        <f t="shared" si="6"/>
        <v>15651.137091758148</v>
      </c>
      <c r="P80" s="761" t="s">
        <v>1145</v>
      </c>
      <c r="Q80" s="713" t="s">
        <v>1148</v>
      </c>
      <c r="R80" s="713"/>
      <c r="S80" s="595">
        <f t="shared" si="7"/>
        <v>15651.132230368577</v>
      </c>
    </row>
    <row r="81" spans="1:24" ht="11.25" customHeight="1">
      <c r="B81" s="639">
        <v>45342</v>
      </c>
      <c r="C81" s="728" t="s">
        <v>250</v>
      </c>
      <c r="D81" s="739"/>
      <c r="E81" s="740">
        <v>38</v>
      </c>
      <c r="F81" s="640" t="s">
        <v>107</v>
      </c>
      <c r="G81" s="640"/>
      <c r="H81" s="642"/>
      <c r="I81" s="758"/>
      <c r="J81" s="643"/>
      <c r="K81" s="709">
        <v>7.2</v>
      </c>
      <c r="L81" s="612">
        <f>'통장내역(환율표)'!$D$161</f>
        <v>7.1807777538093465</v>
      </c>
      <c r="M81" s="765">
        <f t="shared" si="4"/>
        <v>1.0026769030945786</v>
      </c>
      <c r="N81" s="759">
        <f t="shared" si="5"/>
        <v>112361.43999999989</v>
      </c>
      <c r="O81" s="760">
        <f t="shared" si="6"/>
        <v>15650.134414855054</v>
      </c>
      <c r="P81" s="761" t="s">
        <v>1145</v>
      </c>
      <c r="Q81" s="713" t="s">
        <v>1148</v>
      </c>
      <c r="R81" s="713"/>
      <c r="S81" s="595">
        <f t="shared" si="7"/>
        <v>15650.129553465484</v>
      </c>
    </row>
    <row r="82" spans="1:24" ht="11.25" customHeight="1">
      <c r="B82" s="639">
        <v>45342</v>
      </c>
      <c r="C82" s="728" t="s">
        <v>1106</v>
      </c>
      <c r="D82" s="739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331.18</v>
      </c>
      <c r="L82" s="612">
        <f>'통장내역(환율표)'!$D$161</f>
        <v>7.1807777538093465</v>
      </c>
      <c r="M82" s="765">
        <f t="shared" si="4"/>
        <v>46.12035232873091</v>
      </c>
      <c r="N82" s="759">
        <f t="shared" si="5"/>
        <v>112030.25999999989</v>
      </c>
      <c r="O82" s="760">
        <f t="shared" si="6"/>
        <v>15604.014062526323</v>
      </c>
      <c r="P82" s="761" t="s">
        <v>1145</v>
      </c>
      <c r="Q82" s="713" t="s">
        <v>1148</v>
      </c>
      <c r="R82" s="713"/>
      <c r="S82" s="595">
        <f t="shared" si="7"/>
        <v>15604.009201136752</v>
      </c>
    </row>
    <row r="83" spans="1:24" ht="11.25" customHeight="1">
      <c r="B83" s="639">
        <v>45342</v>
      </c>
      <c r="C83" s="728" t="s">
        <v>806</v>
      </c>
      <c r="D83" s="739"/>
      <c r="E83" s="740">
        <v>40</v>
      </c>
      <c r="F83" s="640" t="s">
        <v>146</v>
      </c>
      <c r="G83" s="640" t="s">
        <v>147</v>
      </c>
      <c r="H83" s="642"/>
      <c r="I83" s="758"/>
      <c r="J83" s="643"/>
      <c r="K83" s="772">
        <v>97.2</v>
      </c>
      <c r="L83" s="612">
        <f>'통장내역(환율표)'!$D$161</f>
        <v>7.1807777538093465</v>
      </c>
      <c r="M83" s="765">
        <f t="shared" si="4"/>
        <v>13.536138191776812</v>
      </c>
      <c r="N83" s="759">
        <f t="shared" si="5"/>
        <v>111933.0599999999</v>
      </c>
      <c r="O83" s="760">
        <f t="shared" si="6"/>
        <v>15590.477924334546</v>
      </c>
      <c r="P83" s="761" t="s">
        <v>1145</v>
      </c>
      <c r="Q83" s="713" t="s">
        <v>1148</v>
      </c>
      <c r="R83" s="713"/>
      <c r="S83" s="595">
        <f t="shared" si="7"/>
        <v>15590.473062944975</v>
      </c>
    </row>
    <row r="84" spans="1:24" ht="11.25" customHeight="1">
      <c r="B84" s="639">
        <v>45342</v>
      </c>
      <c r="C84" s="728" t="s">
        <v>1105</v>
      </c>
      <c r="D84" s="739"/>
      <c r="E84" s="740">
        <v>41</v>
      </c>
      <c r="F84" s="640" t="s">
        <v>146</v>
      </c>
      <c r="G84" s="640" t="s">
        <v>147</v>
      </c>
      <c r="H84" s="642"/>
      <c r="I84" s="758"/>
      <c r="J84" s="643"/>
      <c r="K84" s="709">
        <v>11492.28</v>
      </c>
      <c r="L84" s="612">
        <f>'통장내역(환율표)'!$D$161</f>
        <v>7.1807777538093465</v>
      </c>
      <c r="M84" s="765">
        <f t="shared" si="4"/>
        <v>1600.4227388744118</v>
      </c>
      <c r="N84" s="759">
        <f t="shared" si="5"/>
        <v>100440.7799999999</v>
      </c>
      <c r="O84" s="760">
        <f t="shared" si="6"/>
        <v>13990.055185460134</v>
      </c>
      <c r="P84" s="761" t="s">
        <v>1145</v>
      </c>
      <c r="Q84" s="713" t="s">
        <v>1148</v>
      </c>
      <c r="R84" s="713"/>
      <c r="S84" s="595">
        <f t="shared" si="7"/>
        <v>13990.050324070564</v>
      </c>
    </row>
    <row r="85" spans="1:24" ht="11.25" customHeight="1">
      <c r="B85" s="639">
        <v>45342</v>
      </c>
      <c r="C85" s="728" t="s">
        <v>250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709">
        <v>7.2</v>
      </c>
      <c r="L85" s="612">
        <f>'통장내역(환율표)'!$D$161</f>
        <v>7.1807777538093465</v>
      </c>
      <c r="M85" s="765">
        <f t="shared" si="4"/>
        <v>1.0026769030945786</v>
      </c>
      <c r="N85" s="759">
        <f t="shared" si="5"/>
        <v>100433.5799999999</v>
      </c>
      <c r="O85" s="760">
        <f t="shared" si="6"/>
        <v>13989.052508557041</v>
      </c>
      <c r="P85" s="761" t="s">
        <v>1145</v>
      </c>
      <c r="Q85" s="713" t="s">
        <v>1148</v>
      </c>
      <c r="R85" s="713"/>
      <c r="S85" s="595">
        <f t="shared" si="7"/>
        <v>13989.04764716747</v>
      </c>
    </row>
    <row r="86" spans="1:24" ht="11.25" customHeight="1">
      <c r="B86" s="639">
        <v>45342</v>
      </c>
      <c r="C86" s="728" t="s">
        <v>1004</v>
      </c>
      <c r="D86" s="739"/>
      <c r="E86" s="740">
        <v>43</v>
      </c>
      <c r="F86" s="640" t="s">
        <v>146</v>
      </c>
      <c r="G86" s="640" t="s">
        <v>147</v>
      </c>
      <c r="H86" s="642"/>
      <c r="I86" s="758"/>
      <c r="J86" s="643"/>
      <c r="K86" s="709">
        <v>464</v>
      </c>
      <c r="L86" s="612">
        <f>'통장내역(환율표)'!$D$161</f>
        <v>7.1807777538093465</v>
      </c>
      <c r="M86" s="765">
        <v>64.616955977206175</v>
      </c>
      <c r="N86" s="759">
        <f t="shared" si="5"/>
        <v>99969.5799999999</v>
      </c>
      <c r="O86" s="760">
        <f t="shared" si="6"/>
        <v>13924.435552579835</v>
      </c>
      <c r="P86" s="761" t="s">
        <v>1145</v>
      </c>
      <c r="Q86" s="713" t="s">
        <v>1148</v>
      </c>
      <c r="R86" s="713"/>
      <c r="S86" s="595">
        <f t="shared" si="7"/>
        <v>13924.430691190264</v>
      </c>
    </row>
    <row r="87" spans="1:24" ht="11.25" customHeight="1">
      <c r="B87" s="639">
        <v>45342</v>
      </c>
      <c r="C87" s="728" t="s">
        <v>1003</v>
      </c>
      <c r="D87" s="739"/>
      <c r="E87" s="740">
        <v>44</v>
      </c>
      <c r="F87" s="640" t="s">
        <v>146</v>
      </c>
      <c r="G87" s="640" t="s">
        <v>147</v>
      </c>
      <c r="H87" s="642"/>
      <c r="I87" s="758"/>
      <c r="J87" s="643"/>
      <c r="K87" s="709">
        <v>918</v>
      </c>
      <c r="L87" s="612">
        <f>'통장내역(환율표)'!$D$161</f>
        <v>7.1807777538093465</v>
      </c>
      <c r="M87" s="765">
        <f t="shared" ref="M87:M94" si="8">K87/L87</f>
        <v>127.84130514455877</v>
      </c>
      <c r="N87" s="759">
        <f t="shared" si="5"/>
        <v>99051.5799999999</v>
      </c>
      <c r="O87" s="760">
        <f t="shared" si="6"/>
        <v>13796.594247435276</v>
      </c>
      <c r="P87" s="761" t="s">
        <v>1145</v>
      </c>
      <c r="Q87" s="713" t="s">
        <v>1148</v>
      </c>
      <c r="R87" s="713"/>
      <c r="S87" s="595">
        <f t="shared" si="7"/>
        <v>13796.589386045705</v>
      </c>
    </row>
    <row r="88" spans="1:24" ht="11.25" customHeight="1">
      <c r="B88" s="639">
        <v>45342</v>
      </c>
      <c r="C88" s="728" t="s">
        <v>1005</v>
      </c>
      <c r="D88" s="739"/>
      <c r="E88" s="740">
        <v>45</v>
      </c>
      <c r="F88" s="640" t="s">
        <v>146</v>
      </c>
      <c r="G88" s="640" t="s">
        <v>147</v>
      </c>
      <c r="H88" s="642"/>
      <c r="I88" s="758"/>
      <c r="J88" s="643"/>
      <c r="K88" s="709">
        <f>1861.76-18</f>
        <v>1843.76</v>
      </c>
      <c r="L88" s="612">
        <f>'통장내역(환율표)'!$D$161</f>
        <v>7.1807777538093465</v>
      </c>
      <c r="M88" s="765">
        <f t="shared" si="8"/>
        <v>256.7632731735639</v>
      </c>
      <c r="N88" s="759">
        <f t="shared" si="5"/>
        <v>97207.819999999905</v>
      </c>
      <c r="O88" s="760">
        <f t="shared" si="6"/>
        <v>13539.830974261713</v>
      </c>
      <c r="P88" s="761" t="s">
        <v>1145</v>
      </c>
      <c r="Q88" s="713" t="s">
        <v>1148</v>
      </c>
      <c r="R88" s="713"/>
      <c r="S88" s="595">
        <f t="shared" si="7"/>
        <v>13539.826112872142</v>
      </c>
    </row>
    <row r="89" spans="1:24" ht="11.25" customHeight="1">
      <c r="B89" s="639">
        <v>45342</v>
      </c>
      <c r="C89" s="728" t="s">
        <v>250</v>
      </c>
      <c r="D89" s="739"/>
      <c r="E89" s="763">
        <v>46</v>
      </c>
      <c r="F89" s="640" t="s">
        <v>107</v>
      </c>
      <c r="G89" s="640"/>
      <c r="H89" s="642"/>
      <c r="I89" s="758"/>
      <c r="J89" s="643"/>
      <c r="K89" s="709">
        <v>3.6</v>
      </c>
      <c r="L89" s="612">
        <f>'통장내역(환율표)'!$D$161</f>
        <v>7.1807777538093465</v>
      </c>
      <c r="M89" s="765">
        <f t="shared" si="8"/>
        <v>0.50133845154728929</v>
      </c>
      <c r="N89" s="759">
        <f t="shared" si="5"/>
        <v>97204.219999999899</v>
      </c>
      <c r="O89" s="760">
        <f t="shared" si="6"/>
        <v>13539.329635810165</v>
      </c>
      <c r="P89" s="761" t="s">
        <v>1145</v>
      </c>
      <c r="Q89" s="713" t="s">
        <v>1148</v>
      </c>
      <c r="R89" s="713"/>
      <c r="S89" s="595">
        <f t="shared" si="7"/>
        <v>13539.324774420595</v>
      </c>
    </row>
    <row r="90" spans="1:24" ht="11.25" customHeight="1">
      <c r="B90" s="639">
        <v>45342</v>
      </c>
      <c r="C90" s="642" t="s">
        <v>1125</v>
      </c>
      <c r="D90" s="739"/>
      <c r="E90" s="763">
        <v>47</v>
      </c>
      <c r="F90" s="640" t="s">
        <v>146</v>
      </c>
      <c r="G90" s="640" t="s">
        <v>147</v>
      </c>
      <c r="H90" s="642"/>
      <c r="I90" s="758"/>
      <c r="J90" s="643"/>
      <c r="K90" s="709">
        <v>5419.32</v>
      </c>
      <c r="L90" s="612">
        <f>'통장내역(환율표)'!$D$161</f>
        <v>7.1807777538093465</v>
      </c>
      <c r="M90" s="765">
        <v>754.698193677571</v>
      </c>
      <c r="N90" s="759">
        <f>N89+H90-K90</f>
        <v>91784.899999999907</v>
      </c>
      <c r="O90" s="760">
        <f>O89+J90-M90</f>
        <v>12784.631442132595</v>
      </c>
      <c r="P90" s="761" t="s">
        <v>1145</v>
      </c>
      <c r="Q90" s="713" t="s">
        <v>1148</v>
      </c>
      <c r="R90" s="713"/>
      <c r="S90" s="595">
        <f t="shared" si="7"/>
        <v>12784.626580743025</v>
      </c>
    </row>
    <row r="91" spans="1:24" ht="11.25" customHeight="1">
      <c r="B91" s="639">
        <v>45342</v>
      </c>
      <c r="C91" s="728" t="s">
        <v>1101</v>
      </c>
      <c r="D91" s="739"/>
      <c r="E91" s="763">
        <v>48</v>
      </c>
      <c r="F91" s="640" t="s">
        <v>107</v>
      </c>
      <c r="G91" s="640"/>
      <c r="H91" s="642"/>
      <c r="I91" s="758"/>
      <c r="J91" s="643"/>
      <c r="K91" s="709">
        <v>61.1</v>
      </c>
      <c r="L91" s="612">
        <f>'통장내역(환율표)'!$D$161</f>
        <v>7.1807777538093465</v>
      </c>
      <c r="M91" s="768">
        <f t="shared" si="8"/>
        <v>8.5088276082053831</v>
      </c>
      <c r="N91" s="759">
        <f>N90+H91-K91</f>
        <v>91723.799999999901</v>
      </c>
      <c r="O91" s="760">
        <f>O90+J91-M91</f>
        <v>12776.122614524389</v>
      </c>
      <c r="P91" s="761" t="s">
        <v>1145</v>
      </c>
      <c r="Q91" s="713" t="s">
        <v>1148</v>
      </c>
      <c r="R91" s="713"/>
      <c r="S91" s="595">
        <f t="shared" si="7"/>
        <v>12776.117753134818</v>
      </c>
    </row>
    <row r="92" spans="1:24" ht="11.25" customHeight="1">
      <c r="B92" s="639">
        <v>45342</v>
      </c>
      <c r="C92" s="728" t="s">
        <v>1100</v>
      </c>
      <c r="D92" s="739"/>
      <c r="E92" s="739">
        <v>49</v>
      </c>
      <c r="F92" s="640" t="s">
        <v>116</v>
      </c>
      <c r="G92" s="640" t="s">
        <v>140</v>
      </c>
      <c r="H92" s="762"/>
      <c r="I92" s="758"/>
      <c r="J92" s="643"/>
      <c r="K92" s="709">
        <v>113.1</v>
      </c>
      <c r="L92" s="612">
        <f>'통장내역(환율표)'!$D$161</f>
        <v>7.1807777538093465</v>
      </c>
      <c r="M92" s="765">
        <f t="shared" si="8"/>
        <v>15.750383019444005</v>
      </c>
      <c r="N92" s="759">
        <f>N91+H92-K92</f>
        <v>91610.699999999895</v>
      </c>
      <c r="O92" s="760">
        <f>O91+J92-M92</f>
        <v>12760.372231504945</v>
      </c>
      <c r="P92" s="761" t="s">
        <v>1145</v>
      </c>
      <c r="Q92" s="713" t="s">
        <v>1148</v>
      </c>
      <c r="R92" s="713"/>
      <c r="S92" s="595">
        <f>S91-M92</f>
        <v>12760.367370115375</v>
      </c>
    </row>
    <row r="93" spans="1:24" ht="11.25" customHeight="1">
      <c r="B93" s="639">
        <v>45342</v>
      </c>
      <c r="C93" s="728" t="s">
        <v>1102</v>
      </c>
      <c r="D93" s="739"/>
      <c r="E93" s="763">
        <v>50</v>
      </c>
      <c r="F93" s="640" t="s">
        <v>146</v>
      </c>
      <c r="G93" s="640" t="s">
        <v>147</v>
      </c>
      <c r="H93" s="642"/>
      <c r="I93" s="758"/>
      <c r="J93" s="643"/>
      <c r="K93" s="709">
        <v>1228.6400000000001</v>
      </c>
      <c r="L93" s="612">
        <f>'통장내역(환율표)'!$D$161</f>
        <v>7.1807777538093465</v>
      </c>
      <c r="M93" s="765">
        <v>171.1</v>
      </c>
      <c r="N93" s="759">
        <f>N92+H93-K93</f>
        <v>90382.059999999896</v>
      </c>
      <c r="O93" s="760">
        <f>O92+J93-M93</f>
        <v>12589.272231504945</v>
      </c>
      <c r="P93" s="761" t="s">
        <v>1145</v>
      </c>
      <c r="Q93" s="713" t="s">
        <v>1148</v>
      </c>
      <c r="R93" s="713"/>
      <c r="S93" s="595">
        <f>S92-M93</f>
        <v>12589.267370115374</v>
      </c>
    </row>
    <row r="94" spans="1:24" ht="11.25" customHeight="1">
      <c r="B94" s="639">
        <v>45342</v>
      </c>
      <c r="C94" s="728" t="s">
        <v>250</v>
      </c>
      <c r="D94" s="739"/>
      <c r="E94" s="763">
        <v>51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'통장내역(환율표)'!$D$161</f>
        <v>7.1807777538093465</v>
      </c>
      <c r="M94" s="765">
        <f t="shared" si="8"/>
        <v>0.50133845154728929</v>
      </c>
      <c r="N94" s="759">
        <f>N93+H94-K94</f>
        <v>90378.45999999989</v>
      </c>
      <c r="O94" s="760">
        <f>O93+J94-M94</f>
        <v>12588.770893053397</v>
      </c>
      <c r="P94" s="761" t="s">
        <v>1145</v>
      </c>
      <c r="Q94" s="713" t="s">
        <v>1148</v>
      </c>
      <c r="R94" s="713"/>
      <c r="S94" s="595">
        <f>S93-M94</f>
        <v>12588.766031663827</v>
      </c>
    </row>
    <row r="95" spans="1:24" s="645" customFormat="1" ht="11.25" customHeight="1" thickBot="1">
      <c r="A95" s="614"/>
      <c r="B95" s="742"/>
      <c r="C95" s="743"/>
      <c r="D95" s="744"/>
      <c r="E95" s="743"/>
      <c r="F95" s="745"/>
      <c r="G95" s="746"/>
      <c r="H95" s="747"/>
      <c r="I95" s="748"/>
      <c r="J95" s="749"/>
      <c r="K95" s="750"/>
      <c r="L95" s="736"/>
      <c r="M95" s="752"/>
      <c r="N95" s="756"/>
      <c r="O95" s="757"/>
      <c r="P95" s="753"/>
      <c r="Q95" s="732"/>
      <c r="R95" s="737"/>
      <c r="S95" s="595"/>
      <c r="T95" s="531"/>
      <c r="V95" s="531"/>
      <c r="W95" s="531"/>
      <c r="X95" s="531"/>
    </row>
    <row r="96" spans="1:24" ht="11.25" customHeight="1">
      <c r="C96" s="589"/>
      <c r="D96" s="589"/>
      <c r="E96" s="589"/>
      <c r="F96" s="589"/>
      <c r="G96" s="589"/>
      <c r="H96" s="589"/>
      <c r="K96" s="531"/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</sheetData>
  <autoFilter ref="B17:R95" xr:uid="{00000000-0009-0000-0000-000001000000}">
    <filterColumn colId="14" showButton="0"/>
    <sortState xmlns:xlrd2="http://schemas.microsoft.com/office/spreadsheetml/2017/richdata2" ref="B21:R25">
      <sortCondition sortBy="cellColor" ref="M17:M95" dxfId="18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A52-6A98-474B-827F-7291104B0908}">
  <sheetPr filterMode="1">
    <tabColor theme="4" tint="-0.499984740745262"/>
  </sheetPr>
  <dimension ref="A1:AC123"/>
  <sheetViews>
    <sheetView showGridLines="0" zoomScaleNormal="100" workbookViewId="0">
      <pane ySplit="18" topLeftCell="A19" activePane="bottomLeft" state="frozen"/>
      <selection activeCell="M28" sqref="M28"/>
      <selection pane="bottomLeft" activeCell="E136" sqref="E136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5" style="559" customWidth="1"/>
    <col min="5" max="5" width="9.37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1152</v>
      </c>
      <c r="C2" s="534"/>
      <c r="D2" s="535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1141</v>
      </c>
      <c r="C3" s="547"/>
      <c r="D3" s="548"/>
      <c r="E3" s="547"/>
      <c r="F3" s="790">
        <v>1327.2</v>
      </c>
      <c r="G3" s="550"/>
      <c r="H3" s="546" t="s">
        <v>1179</v>
      </c>
      <c r="I3" s="547"/>
      <c r="K3" s="548">
        <v>36000</v>
      </c>
      <c r="L3" s="790">
        <v>1234.5</v>
      </c>
      <c r="N3" s="546" t="s">
        <v>1151</v>
      </c>
      <c r="O3" s="547"/>
      <c r="P3" s="548"/>
      <c r="Q3" s="548"/>
      <c r="R3" s="790">
        <v>1323.1</v>
      </c>
      <c r="T3" s="546" t="s">
        <v>1257</v>
      </c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54" t="s">
        <v>1</v>
      </c>
      <c r="U4" s="555" t="s">
        <v>2</v>
      </c>
      <c r="V4" s="556" t="s">
        <v>1058</v>
      </c>
      <c r="W4" s="560" t="s">
        <v>1059</v>
      </c>
      <c r="X4" s="558" t="s">
        <v>1060</v>
      </c>
    </row>
    <row r="5" spans="1:29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/>
      <c r="K5" s="766"/>
      <c r="L5" s="723">
        <f t="shared" ref="L5:L10" si="0">ROUND(K5*$L$3,0)</f>
        <v>0</v>
      </c>
      <c r="N5" s="569" t="s">
        <v>11</v>
      </c>
      <c r="O5" s="569" t="s">
        <v>12</v>
      </c>
      <c r="P5" s="766">
        <v>12105.2</v>
      </c>
      <c r="Q5" s="766">
        <v>1690.25</v>
      </c>
      <c r="R5" s="567">
        <f t="shared" ref="R5:R12" si="1">ROUND(Q5*$R$3,0)</f>
        <v>2236370</v>
      </c>
      <c r="T5" s="569" t="s">
        <v>1180</v>
      </c>
      <c r="U5" s="569"/>
      <c r="V5" s="766">
        <v>48000</v>
      </c>
      <c r="W5" s="766">
        <v>6684.51</v>
      </c>
      <c r="X5" s="567">
        <f>ROUND(W5*$F$3,0)</f>
        <v>8871682</v>
      </c>
    </row>
    <row r="6" spans="1:29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ROUND(E6*$F$3,0)</f>
        <v>0</v>
      </c>
      <c r="G6" s="572"/>
      <c r="H6" s="569" t="s">
        <v>13</v>
      </c>
      <c r="I6" s="569" t="s">
        <v>14</v>
      </c>
      <c r="J6" s="766"/>
      <c r="K6" s="766"/>
      <c r="L6" s="723">
        <f t="shared" si="0"/>
        <v>0</v>
      </c>
      <c r="N6" s="569" t="s">
        <v>13</v>
      </c>
      <c r="O6" s="569" t="s">
        <v>14</v>
      </c>
      <c r="P6" s="766">
        <v>50605.579999999994</v>
      </c>
      <c r="Q6" s="766">
        <v>7066.09</v>
      </c>
      <c r="R6" s="567">
        <f t="shared" si="1"/>
        <v>9349144</v>
      </c>
      <c r="X6" s="789">
        <f t="shared" ref="X6:X13" si="3">F6+R6</f>
        <v>9349144</v>
      </c>
      <c r="Y6" s="542" t="s">
        <v>1082</v>
      </c>
      <c r="Z6" s="543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5">
        <v>18093</v>
      </c>
      <c r="E7" s="566">
        <v>2519.64</v>
      </c>
      <c r="F7" s="567">
        <f t="shared" si="2"/>
        <v>3344066</v>
      </c>
      <c r="G7" s="573"/>
      <c r="H7" s="569" t="s">
        <v>15</v>
      </c>
      <c r="I7" s="569" t="s">
        <v>1064</v>
      </c>
      <c r="J7" s="767"/>
      <c r="K7" s="767"/>
      <c r="L7" s="723">
        <f t="shared" si="0"/>
        <v>0</v>
      </c>
      <c r="N7" s="569" t="s">
        <v>15</v>
      </c>
      <c r="O7" s="569" t="s">
        <v>1064</v>
      </c>
      <c r="P7" s="767"/>
      <c r="Q7" s="767"/>
      <c r="R7" s="723">
        <f t="shared" si="1"/>
        <v>0</v>
      </c>
      <c r="X7" s="789">
        <f t="shared" si="3"/>
        <v>3344066</v>
      </c>
    </row>
    <row r="8" spans="1:29" ht="15" customHeight="1">
      <c r="A8" s="562">
        <v>51201030</v>
      </c>
      <c r="B8" s="563" t="s">
        <v>1065</v>
      </c>
      <c r="C8" s="564" t="s">
        <v>17</v>
      </c>
      <c r="D8" s="565">
        <v>6094.08</v>
      </c>
      <c r="E8" s="570">
        <v>848.66</v>
      </c>
      <c r="F8" s="567">
        <f t="shared" si="2"/>
        <v>1126342</v>
      </c>
      <c r="G8" s="573"/>
      <c r="H8" s="569" t="s">
        <v>15</v>
      </c>
      <c r="I8" s="564" t="s">
        <v>17</v>
      </c>
      <c r="J8" s="767">
        <v>11405.93</v>
      </c>
      <c r="K8" s="767">
        <v>1792.81</v>
      </c>
      <c r="L8" s="723">
        <f t="shared" si="0"/>
        <v>2213224</v>
      </c>
      <c r="N8" s="569" t="s">
        <v>15</v>
      </c>
      <c r="O8" s="564" t="s">
        <v>17</v>
      </c>
      <c r="P8" s="767"/>
      <c r="Q8" s="767"/>
      <c r="R8" s="723">
        <f t="shared" si="1"/>
        <v>0</v>
      </c>
      <c r="T8"/>
      <c r="U8"/>
      <c r="V8"/>
      <c r="W8"/>
      <c r="X8"/>
    </row>
    <row r="9" spans="1:29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766"/>
      <c r="K9" s="766"/>
      <c r="L9" s="723">
        <f t="shared" si="0"/>
        <v>0</v>
      </c>
      <c r="N9" s="569" t="s">
        <v>19</v>
      </c>
      <c r="O9" s="564" t="s">
        <v>20</v>
      </c>
      <c r="P9" s="766">
        <v>1295.01</v>
      </c>
      <c r="Q9" s="766">
        <v>180.82</v>
      </c>
      <c r="R9" s="567">
        <f t="shared" si="1"/>
        <v>239243</v>
      </c>
      <c r="T9"/>
      <c r="U9"/>
      <c r="V9"/>
      <c r="W9"/>
      <c r="X9"/>
    </row>
    <row r="10" spans="1:29" ht="11.25" customHeight="1">
      <c r="A10" s="562">
        <v>51321010</v>
      </c>
      <c r="B10" s="563" t="s">
        <v>21</v>
      </c>
      <c r="C10" s="564"/>
      <c r="D10" s="565">
        <v>18342.400000000001</v>
      </c>
      <c r="E10" s="570">
        <v>2554.38</v>
      </c>
      <c r="F10" s="567">
        <f t="shared" si="2"/>
        <v>3390173</v>
      </c>
      <c r="G10" s="575"/>
      <c r="H10" s="569" t="s">
        <v>21</v>
      </c>
      <c r="I10" s="569"/>
      <c r="J10" s="766">
        <v>24594.07</v>
      </c>
      <c r="K10" s="766">
        <v>3865.75</v>
      </c>
      <c r="L10" s="723">
        <f t="shared" si="0"/>
        <v>4772268</v>
      </c>
      <c r="N10" s="569" t="s">
        <v>21</v>
      </c>
      <c r="O10" s="569"/>
      <c r="P10" s="766">
        <v>184016.23</v>
      </c>
      <c r="Q10" s="766">
        <v>25720.29</v>
      </c>
      <c r="R10" s="567">
        <f t="shared" si="1"/>
        <v>34030516</v>
      </c>
      <c r="T10"/>
      <c r="U10"/>
      <c r="V10"/>
      <c r="W10"/>
      <c r="X10"/>
      <c r="Y10" s="542" t="s">
        <v>1082</v>
      </c>
      <c r="Z10" s="543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1323.6968371641228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N11" s="576" t="s">
        <v>1066</v>
      </c>
      <c r="O11" s="577" t="s">
        <v>1067</v>
      </c>
      <c r="P11" s="581"/>
      <c r="Q11" s="581"/>
      <c r="R11" s="579">
        <f t="shared" si="1"/>
        <v>0</v>
      </c>
      <c r="T11" s="819"/>
      <c r="U11"/>
      <c r="V11"/>
      <c r="W11"/>
      <c r="X11"/>
      <c r="Y11" s="542" t="s">
        <v>1082</v>
      </c>
      <c r="Z11" s="543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667">
        <v>132.35</v>
      </c>
      <c r="E12" s="570">
        <v>18.43</v>
      </c>
      <c r="F12" s="567">
        <f t="shared" si="2"/>
        <v>24460</v>
      </c>
      <c r="G12" s="582">
        <f>E13+Q13+AB13</f>
        <v>40561.699999999997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N12" s="569" t="s">
        <v>1068</v>
      </c>
      <c r="O12" s="569" t="s">
        <v>1069</v>
      </c>
      <c r="P12" s="565"/>
      <c r="Q12" s="570"/>
      <c r="R12" s="567">
        <f t="shared" si="1"/>
        <v>0</v>
      </c>
      <c r="X12" s="789">
        <f t="shared" si="3"/>
        <v>24460</v>
      </c>
      <c r="Y12" s="542" t="s">
        <v>1082</v>
      </c>
      <c r="Z12" s="543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5">
        <f>SUM(D5:D11)-D12</f>
        <v>42397.130000000005</v>
      </c>
      <c r="E13" s="586">
        <f>SUM(E5:E11)-E12</f>
        <v>5904.25</v>
      </c>
      <c r="F13" s="587">
        <f>SUM(F5:F11)-F12</f>
        <v>7836121</v>
      </c>
      <c r="G13" s="588">
        <f>F13+R13+AC13</f>
        <v>53691394</v>
      </c>
      <c r="H13" s="583" t="s">
        <v>22</v>
      </c>
      <c r="I13" s="584"/>
      <c r="J13" s="585">
        <f>SUM(J5:J11)-J12</f>
        <v>36000</v>
      </c>
      <c r="K13" s="586">
        <f>SUM(K5:K11)-K12</f>
        <v>5658.5599999999995</v>
      </c>
      <c r="L13" s="587">
        <f>SUM(L5:L11)-L12</f>
        <v>6985492</v>
      </c>
      <c r="N13" s="583" t="s">
        <v>22</v>
      </c>
      <c r="O13" s="584"/>
      <c r="P13" s="585">
        <f>SUM(P5:P11)-P12</f>
        <v>248022.02000000002</v>
      </c>
      <c r="Q13" s="586">
        <f>SUM(Q5:Q11)-Q12</f>
        <v>34657.449999999997</v>
      </c>
      <c r="R13" s="587">
        <f>SUM(R5:R11)-R12</f>
        <v>45855273</v>
      </c>
      <c r="X13" s="789">
        <f t="shared" si="3"/>
        <v>53691394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815">
        <f>SUM(D7:D10)</f>
        <v>42529.48</v>
      </c>
      <c r="E14" s="815">
        <f>SUM(E7:E10)</f>
        <v>5922.68</v>
      </c>
      <c r="F14" s="816">
        <f>SUM(F7:F10)</f>
        <v>7860581</v>
      </c>
      <c r="G14" s="594"/>
      <c r="O14" s="595"/>
      <c r="P14" s="720">
        <f>P13+D13+J13</f>
        <v>326419.15000000002</v>
      </c>
      <c r="Q14" s="720">
        <f>Q13+E13+K13</f>
        <v>46220.259999999995</v>
      </c>
      <c r="R14" s="721">
        <f>R13+F13+L13</f>
        <v>60676886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SUBTOTAL(9,K18:K137)</f>
        <v>117246.74552487192</v>
      </c>
      <c r="L15" s="137"/>
      <c r="M15" s="724">
        <f>SUBTOTAL(9,M18:M137)</f>
        <v>6684.5126872971905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6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30"/>
      <c r="R17" s="609" t="s">
        <v>1071</v>
      </c>
    </row>
    <row r="18" spans="1:19" ht="11.25" hidden="1" customHeight="1">
      <c r="B18" s="729">
        <v>45350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90378.45999999989</v>
      </c>
      <c r="O18" s="755">
        <v>12588.770893053397</v>
      </c>
      <c r="P18" s="753"/>
      <c r="Q18" s="732"/>
      <c r="R18" s="737"/>
      <c r="S18" s="717">
        <v>12588.766031663827</v>
      </c>
    </row>
    <row r="19" spans="1:19" ht="11.25" hidden="1" customHeight="1">
      <c r="B19" s="692">
        <v>45363</v>
      </c>
      <c r="C19" s="727" t="s">
        <v>1097</v>
      </c>
      <c r="D19" s="693"/>
      <c r="E19" s="693">
        <v>1</v>
      </c>
      <c r="F19" s="693"/>
      <c r="G19" s="693"/>
      <c r="H19" s="694">
        <v>383597.96</v>
      </c>
      <c r="I19" s="695"/>
      <c r="J19" s="694">
        <v>53588</v>
      </c>
      <c r="K19" s="696"/>
      <c r="L19" s="697"/>
      <c r="M19" s="691"/>
      <c r="N19" s="699">
        <f t="shared" ref="N19:N50" si="4">N18+H19-K19</f>
        <v>473976.41999999993</v>
      </c>
      <c r="O19" s="700">
        <f t="shared" ref="O19:O50" si="5">O18+J19-M19</f>
        <v>66176.770893053399</v>
      </c>
      <c r="P19" s="701"/>
      <c r="Q19" s="702"/>
      <c r="R19" s="702"/>
      <c r="S19" s="595">
        <f>S18-M19</f>
        <v>12588.766031663827</v>
      </c>
    </row>
    <row r="20" spans="1:19" ht="11.25" hidden="1" customHeight="1">
      <c r="B20" s="692"/>
      <c r="C20" s="727"/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/>
      <c r="M20" s="691">
        <v>26</v>
      </c>
      <c r="N20" s="699">
        <f t="shared" si="4"/>
        <v>473976.41999999993</v>
      </c>
      <c r="O20" s="700">
        <f t="shared" si="5"/>
        <v>66150.770893053399</v>
      </c>
      <c r="P20" s="701"/>
      <c r="Q20" s="702"/>
      <c r="R20" s="702"/>
      <c r="S20" s="595"/>
    </row>
    <row r="21" spans="1:19" ht="11.25" hidden="1" customHeight="1">
      <c r="B21" s="639">
        <v>45365</v>
      </c>
      <c r="C21" s="738" t="s">
        <v>1154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140</v>
      </c>
      <c r="L21" s="612">
        <f>'통장내역(환율표)'!$D$161</f>
        <v>7.1807777538093465</v>
      </c>
      <c r="M21" s="703">
        <f t="shared" ref="M21:M27" si="6">K21/L21</f>
        <v>19.49649533795014</v>
      </c>
      <c r="N21" s="685">
        <f t="shared" si="4"/>
        <v>473836.41999999993</v>
      </c>
      <c r="O21" s="686">
        <f t="shared" si="5"/>
        <v>66131.274397715446</v>
      </c>
      <c r="P21" s="680" t="s">
        <v>1146</v>
      </c>
      <c r="Q21" s="613"/>
      <c r="R21" s="613"/>
      <c r="S21" s="595">
        <f>S19-M21</f>
        <v>12569.269536325877</v>
      </c>
    </row>
    <row r="22" spans="1:19" ht="11.25" hidden="1" customHeight="1">
      <c r="B22" s="639">
        <v>45366</v>
      </c>
      <c r="C22" s="728" t="s">
        <v>1168</v>
      </c>
      <c r="D22" s="739"/>
      <c r="E22" s="740">
        <v>3</v>
      </c>
      <c r="F22" s="640" t="s">
        <v>105</v>
      </c>
      <c r="G22" s="640" t="s">
        <v>1131</v>
      </c>
      <c r="H22" s="642"/>
      <c r="I22" s="641"/>
      <c r="J22" s="643"/>
      <c r="K22" s="772">
        <v>18093</v>
      </c>
      <c r="L22" s="612">
        <f>'통장내역(환율표)'!$D$161</f>
        <v>7.1807777538093465</v>
      </c>
      <c r="M22" s="703">
        <f t="shared" si="6"/>
        <v>2519.6435010680848</v>
      </c>
      <c r="N22" s="685">
        <f t="shared" si="4"/>
        <v>455743.41999999993</v>
      </c>
      <c r="O22" s="686">
        <f t="shared" si="5"/>
        <v>63611.630896647359</v>
      </c>
      <c r="P22" s="680" t="s">
        <v>1146</v>
      </c>
      <c r="Q22" s="613"/>
      <c r="R22" s="613"/>
      <c r="S22" s="595">
        <f t="shared" ref="S22:S28" si="7">S21-M22</f>
        <v>10049.626035257792</v>
      </c>
    </row>
    <row r="23" spans="1:19" ht="11.25" hidden="1" customHeight="1">
      <c r="B23" s="639">
        <v>45366</v>
      </c>
      <c r="C23" s="728" t="s">
        <v>1169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772">
        <v>7608</v>
      </c>
      <c r="L23" s="612">
        <f>'통장내역(환율표)'!$D$161</f>
        <v>7.1807777538093465</v>
      </c>
      <c r="M23" s="703">
        <f t="shared" si="6"/>
        <v>1059.4952609366048</v>
      </c>
      <c r="N23" s="685">
        <f t="shared" si="4"/>
        <v>448135.41999999993</v>
      </c>
      <c r="O23" s="686">
        <f t="shared" si="5"/>
        <v>62552.135635710751</v>
      </c>
      <c r="P23" s="680" t="s">
        <v>1146</v>
      </c>
      <c r="Q23" s="613"/>
      <c r="R23" s="613" t="s">
        <v>1170</v>
      </c>
      <c r="S23" s="595">
        <f t="shared" si="7"/>
        <v>8990.1307743211873</v>
      </c>
    </row>
    <row r="24" spans="1:19" ht="11.25" customHeight="1">
      <c r="B24" s="775">
        <v>45366</v>
      </c>
      <c r="C24" s="786" t="s">
        <v>1167</v>
      </c>
      <c r="D24" s="776"/>
      <c r="E24" s="777">
        <v>5</v>
      </c>
      <c r="F24" s="778" t="s">
        <v>69</v>
      </c>
      <c r="G24" s="778"/>
      <c r="H24" s="787"/>
      <c r="I24" s="779"/>
      <c r="J24" s="780"/>
      <c r="K24" s="788">
        <v>48000</v>
      </c>
      <c r="L24" s="781">
        <f>'통장내역(환율표)'!$D$161</f>
        <v>7.1807777538093465</v>
      </c>
      <c r="M24" s="703">
        <f t="shared" si="6"/>
        <v>6684.5126872971905</v>
      </c>
      <c r="N24" s="782">
        <f t="shared" si="4"/>
        <v>400135.41999999993</v>
      </c>
      <c r="O24" s="783">
        <f t="shared" si="5"/>
        <v>55867.622948413562</v>
      </c>
      <c r="P24" s="784" t="s">
        <v>1145</v>
      </c>
      <c r="Q24" s="785"/>
      <c r="R24" s="785"/>
      <c r="S24" s="595">
        <f t="shared" si="7"/>
        <v>2305.6180870239968</v>
      </c>
    </row>
    <row r="25" spans="1:19" ht="11.25" hidden="1" customHeight="1">
      <c r="B25" s="639">
        <v>45366</v>
      </c>
      <c r="C25" s="728" t="s">
        <v>250</v>
      </c>
      <c r="D25" s="739"/>
      <c r="E25" s="740">
        <v>6</v>
      </c>
      <c r="F25" s="640" t="s">
        <v>107</v>
      </c>
      <c r="G25" s="640"/>
      <c r="H25" s="642"/>
      <c r="I25" s="641"/>
      <c r="J25" s="643"/>
      <c r="K25" s="772">
        <v>7.2</v>
      </c>
      <c r="L25" s="612">
        <f>'통장내역(환율표)'!$D$161</f>
        <v>7.1807777538093465</v>
      </c>
      <c r="M25" s="703">
        <f t="shared" si="6"/>
        <v>1.0026769030945786</v>
      </c>
      <c r="N25" s="685">
        <f t="shared" si="4"/>
        <v>400128.21999999991</v>
      </c>
      <c r="O25" s="686">
        <f t="shared" si="5"/>
        <v>55866.620271510466</v>
      </c>
      <c r="P25" s="680" t="s">
        <v>1146</v>
      </c>
      <c r="Q25" s="613"/>
      <c r="R25" s="613"/>
      <c r="S25" s="595">
        <f t="shared" si="7"/>
        <v>2304.6154101209022</v>
      </c>
    </row>
    <row r="26" spans="1:19" ht="11.25" hidden="1" customHeight="1">
      <c r="B26" s="639">
        <v>45366</v>
      </c>
      <c r="C26" s="741" t="s">
        <v>1155</v>
      </c>
      <c r="D26" s="739"/>
      <c r="E26" s="740">
        <v>7</v>
      </c>
      <c r="F26" s="640" t="s">
        <v>107</v>
      </c>
      <c r="G26" s="640"/>
      <c r="H26" s="642"/>
      <c r="I26" s="641"/>
      <c r="J26" s="643"/>
      <c r="K26" s="667">
        <v>10580</v>
      </c>
      <c r="L26" s="612">
        <f>'통장내역(환율표)'!$D$161</f>
        <v>7.1807777538093465</v>
      </c>
      <c r="M26" s="703">
        <f t="shared" si="6"/>
        <v>1473.3780048250892</v>
      </c>
      <c r="N26" s="685">
        <f t="shared" si="4"/>
        <v>389548.21999999991</v>
      </c>
      <c r="O26" s="686">
        <f t="shared" si="5"/>
        <v>54393.242266685374</v>
      </c>
      <c r="P26" s="680" t="s">
        <v>1146</v>
      </c>
      <c r="Q26" s="613"/>
      <c r="R26" s="670"/>
      <c r="S26" s="595">
        <f t="shared" si="7"/>
        <v>831.23740529581301</v>
      </c>
    </row>
    <row r="27" spans="1:19" ht="11.25" hidden="1" customHeight="1">
      <c r="B27" s="639">
        <v>45366</v>
      </c>
      <c r="C27" s="728" t="s">
        <v>250</v>
      </c>
      <c r="D27" s="739"/>
      <c r="E27" s="740">
        <v>8</v>
      </c>
      <c r="F27" s="640" t="s">
        <v>107</v>
      </c>
      <c r="G27" s="640"/>
      <c r="H27" s="642"/>
      <c r="I27" s="641"/>
      <c r="J27" s="643"/>
      <c r="K27" s="667">
        <v>7.2</v>
      </c>
      <c r="L27" s="612">
        <f>'통장내역(환율표)'!$D$161</f>
        <v>7.1807777538093465</v>
      </c>
      <c r="M27" s="703">
        <f t="shared" si="6"/>
        <v>1.0026769030945786</v>
      </c>
      <c r="N27" s="685">
        <f t="shared" si="4"/>
        <v>389541.0199999999</v>
      </c>
      <c r="O27" s="686">
        <f t="shared" si="5"/>
        <v>54392.239589782279</v>
      </c>
      <c r="P27" s="680" t="s">
        <v>1146</v>
      </c>
      <c r="Q27" s="613"/>
      <c r="R27" s="670"/>
      <c r="S27" s="595">
        <f t="shared" si="7"/>
        <v>830.23472839271847</v>
      </c>
    </row>
    <row r="28" spans="1:19" ht="11.25" hidden="1" customHeight="1">
      <c r="B28" s="793">
        <v>45366</v>
      </c>
      <c r="C28" s="794" t="s">
        <v>1156</v>
      </c>
      <c r="D28" s="795"/>
      <c r="E28" s="796">
        <v>9</v>
      </c>
      <c r="F28" s="797" t="s">
        <v>69</v>
      </c>
      <c r="G28" s="797"/>
      <c r="H28" s="798">
        <v>36000</v>
      </c>
      <c r="I28" s="799"/>
      <c r="J28" s="800">
        <v>5658.56</v>
      </c>
      <c r="K28" s="798"/>
      <c r="L28" s="801"/>
      <c r="M28" s="800"/>
      <c r="N28" s="802">
        <f t="shared" si="4"/>
        <v>425541.0199999999</v>
      </c>
      <c r="O28" s="803">
        <f t="shared" si="5"/>
        <v>60050.799589782277</v>
      </c>
      <c r="P28" s="804"/>
      <c r="Q28" s="805"/>
      <c r="R28" s="806"/>
      <c r="S28" s="595">
        <f t="shared" si="7"/>
        <v>830.23472839271847</v>
      </c>
    </row>
    <row r="29" spans="1:19" ht="11.25" hidden="1" customHeight="1">
      <c r="B29" s="639">
        <v>45372</v>
      </c>
      <c r="C29" s="741" t="s">
        <v>731</v>
      </c>
      <c r="D29" s="739"/>
      <c r="E29" s="740" t="s">
        <v>1171</v>
      </c>
      <c r="F29" s="640" t="s">
        <v>60</v>
      </c>
      <c r="G29" s="640"/>
      <c r="H29" s="667">
        <v>132.35</v>
      </c>
      <c r="I29" s="612">
        <f>'통장내역(환율표)'!$D$161</f>
        <v>7.1807777538093465</v>
      </c>
      <c r="J29" s="807">
        <v>18.43</v>
      </c>
      <c r="K29" s="710"/>
      <c r="L29" s="612"/>
      <c r="M29" s="703"/>
      <c r="N29" s="685">
        <f t="shared" si="4"/>
        <v>425673.36999999988</v>
      </c>
      <c r="O29" s="686">
        <f t="shared" si="5"/>
        <v>60069.229589782277</v>
      </c>
      <c r="P29" s="680" t="s">
        <v>1146</v>
      </c>
      <c r="Q29" s="613"/>
      <c r="R29" s="670"/>
      <c r="S29" s="595">
        <f>S28-M29+J29</f>
        <v>848.66472839271842</v>
      </c>
    </row>
    <row r="30" spans="1:19" ht="11.25" hidden="1" customHeight="1">
      <c r="B30" s="639">
        <v>45373</v>
      </c>
      <c r="C30" s="741" t="s">
        <v>305</v>
      </c>
      <c r="D30" s="739"/>
      <c r="E30" s="740">
        <v>10</v>
      </c>
      <c r="F30" s="640" t="s">
        <v>105</v>
      </c>
      <c r="G30" s="640" t="s">
        <v>227</v>
      </c>
      <c r="H30" s="774"/>
      <c r="I30" s="641"/>
      <c r="J30" s="643"/>
      <c r="K30" s="667">
        <f>L30*M30</f>
        <v>6094.0728020850838</v>
      </c>
      <c r="L30" s="612">
        <f>'통장내역(환율표)'!$D$161</f>
        <v>7.1807777538093465</v>
      </c>
      <c r="M30" s="703">
        <v>848.66472839271842</v>
      </c>
      <c r="N30" s="685">
        <f t="shared" si="4"/>
        <v>419579.2971979148</v>
      </c>
      <c r="O30" s="686">
        <f t="shared" si="5"/>
        <v>59220.564861389561</v>
      </c>
      <c r="P30" s="680" t="s">
        <v>1146</v>
      </c>
      <c r="Q30" s="613"/>
      <c r="R30" s="670"/>
      <c r="S30" s="595">
        <f>S29-M30+J30</f>
        <v>0</v>
      </c>
    </row>
    <row r="31" spans="1:19" ht="11.25" hidden="1" customHeight="1">
      <c r="B31" s="639">
        <v>45373</v>
      </c>
      <c r="C31" s="741" t="s">
        <v>305</v>
      </c>
      <c r="D31" s="739"/>
      <c r="E31" s="740">
        <v>10</v>
      </c>
      <c r="F31" s="640" t="s">
        <v>105</v>
      </c>
      <c r="G31" s="640" t="s">
        <v>227</v>
      </c>
      <c r="H31" s="774"/>
      <c r="I31" s="641"/>
      <c r="J31" s="643"/>
      <c r="K31" s="667">
        <f>10500-K30</f>
        <v>4405.9271979149162</v>
      </c>
      <c r="L31" s="612">
        <f>'통장내역(환율표)'!$D$169</f>
        <v>6.3620426398235592</v>
      </c>
      <c r="M31" s="800">
        <f t="shared" ref="M31:M37" si="8">K31/L31</f>
        <v>692.53342791759519</v>
      </c>
      <c r="N31" s="685">
        <f t="shared" si="4"/>
        <v>415173.36999999988</v>
      </c>
      <c r="O31" s="686">
        <f t="shared" si="5"/>
        <v>58528.031433471966</v>
      </c>
      <c r="P31" s="680" t="s">
        <v>69</v>
      </c>
      <c r="Q31" s="613"/>
      <c r="R31" s="670"/>
      <c r="S31" s="595">
        <f>5658.56-M31</f>
        <v>4966.0265720824054</v>
      </c>
    </row>
    <row r="32" spans="1:19" ht="11.25" hidden="1" customHeight="1">
      <c r="B32" s="639">
        <v>45373</v>
      </c>
      <c r="C32" s="741" t="s">
        <v>1116</v>
      </c>
      <c r="D32" s="739"/>
      <c r="E32" s="740">
        <v>11</v>
      </c>
      <c r="F32" s="640" t="s">
        <v>107</v>
      </c>
      <c r="G32" s="640"/>
      <c r="H32" s="642"/>
      <c r="I32" s="641"/>
      <c r="J32" s="643"/>
      <c r="K32" s="667">
        <v>6000</v>
      </c>
      <c r="L32" s="612">
        <f>'통장내역(환율표)'!$D$169</f>
        <v>6.3620426398235592</v>
      </c>
      <c r="M32" s="800">
        <f t="shared" si="8"/>
        <v>943.09333333333336</v>
      </c>
      <c r="N32" s="685">
        <f t="shared" si="4"/>
        <v>409173.36999999988</v>
      </c>
      <c r="O32" s="686">
        <f t="shared" si="5"/>
        <v>57584.938100138635</v>
      </c>
      <c r="P32" s="680" t="s">
        <v>69</v>
      </c>
      <c r="Q32" s="613"/>
      <c r="R32" s="670"/>
      <c r="S32" s="595">
        <f>S31-M32</f>
        <v>4022.9332387490722</v>
      </c>
    </row>
    <row r="33" spans="2:19" ht="11.25" hidden="1" customHeight="1">
      <c r="B33" s="639">
        <v>45373</v>
      </c>
      <c r="C33" s="741" t="s">
        <v>1117</v>
      </c>
      <c r="D33" s="739"/>
      <c r="E33" s="740">
        <v>12</v>
      </c>
      <c r="F33" s="640" t="s">
        <v>107</v>
      </c>
      <c r="G33" s="640"/>
      <c r="H33" s="642"/>
      <c r="I33" s="641"/>
      <c r="J33" s="643"/>
      <c r="K33" s="772">
        <v>920</v>
      </c>
      <c r="L33" s="612">
        <f>'통장내역(환율표)'!$D$169</f>
        <v>6.3620426398235592</v>
      </c>
      <c r="M33" s="800">
        <f t="shared" si="8"/>
        <v>144.60764444444445</v>
      </c>
      <c r="N33" s="685">
        <f t="shared" si="4"/>
        <v>408253.36999999988</v>
      </c>
      <c r="O33" s="686">
        <f t="shared" si="5"/>
        <v>57440.330455694188</v>
      </c>
      <c r="P33" s="680" t="s">
        <v>69</v>
      </c>
      <c r="Q33" s="613"/>
      <c r="R33" s="670"/>
      <c r="S33" s="595">
        <f t="shared" ref="S33:S38" si="9">S32-M33</f>
        <v>3878.3255943046279</v>
      </c>
    </row>
    <row r="34" spans="2:19" ht="11.25" hidden="1" customHeight="1">
      <c r="B34" s="639">
        <v>45373</v>
      </c>
      <c r="C34" s="741" t="s">
        <v>305</v>
      </c>
      <c r="D34" s="739"/>
      <c r="E34" s="740">
        <v>13</v>
      </c>
      <c r="F34" s="640" t="s">
        <v>105</v>
      </c>
      <c r="G34" s="640" t="s">
        <v>227</v>
      </c>
      <c r="H34" s="642"/>
      <c r="I34" s="641"/>
      <c r="J34" s="643"/>
      <c r="K34" s="772">
        <v>7000</v>
      </c>
      <c r="L34" s="612">
        <f>'통장내역(환율표)'!$D$169</f>
        <v>6.3620426398235592</v>
      </c>
      <c r="M34" s="800">
        <f t="shared" si="8"/>
        <v>1100.2755555555557</v>
      </c>
      <c r="N34" s="685">
        <f t="shared" si="4"/>
        <v>401253.36999999988</v>
      </c>
      <c r="O34" s="686">
        <f t="shared" si="5"/>
        <v>56340.054900138632</v>
      </c>
      <c r="P34" s="680" t="s">
        <v>69</v>
      </c>
      <c r="Q34" s="613"/>
      <c r="R34" s="670"/>
      <c r="S34" s="595">
        <f t="shared" si="9"/>
        <v>2778.050038749072</v>
      </c>
    </row>
    <row r="35" spans="2:19" ht="11.25" hidden="1" customHeight="1">
      <c r="B35" s="639">
        <v>45373</v>
      </c>
      <c r="C35" s="741" t="s">
        <v>1116</v>
      </c>
      <c r="D35" s="739"/>
      <c r="E35" s="740">
        <v>14</v>
      </c>
      <c r="F35" s="640" t="s">
        <v>107</v>
      </c>
      <c r="G35" s="640"/>
      <c r="H35" s="642"/>
      <c r="I35" s="641"/>
      <c r="J35" s="643"/>
      <c r="K35" s="772">
        <v>6000</v>
      </c>
      <c r="L35" s="612">
        <f>'통장내역(환율표)'!$D$169</f>
        <v>6.3620426398235592</v>
      </c>
      <c r="M35" s="800">
        <f t="shared" si="8"/>
        <v>943.09333333333336</v>
      </c>
      <c r="N35" s="685">
        <f t="shared" si="4"/>
        <v>395253.36999999988</v>
      </c>
      <c r="O35" s="686">
        <f t="shared" si="5"/>
        <v>55396.961566805301</v>
      </c>
      <c r="P35" s="680" t="s">
        <v>69</v>
      </c>
      <c r="Q35" s="613"/>
      <c r="R35" s="670"/>
      <c r="S35" s="595">
        <f t="shared" si="9"/>
        <v>1834.9567054157387</v>
      </c>
    </row>
    <row r="36" spans="2:19" ht="11.25" hidden="1" customHeight="1">
      <c r="B36" s="639">
        <v>45373</v>
      </c>
      <c r="C36" s="741" t="s">
        <v>1117</v>
      </c>
      <c r="D36" s="739"/>
      <c r="E36" s="740">
        <v>15</v>
      </c>
      <c r="F36" s="640" t="s">
        <v>107</v>
      </c>
      <c r="G36" s="640"/>
      <c r="H36" s="642"/>
      <c r="I36" s="641"/>
      <c r="J36" s="643"/>
      <c r="K36" s="772">
        <v>670</v>
      </c>
      <c r="L36" s="612">
        <f>'통장내역(환율표)'!$D$169</f>
        <v>6.3620426398235592</v>
      </c>
      <c r="M36" s="800">
        <f t="shared" si="8"/>
        <v>105.31208888888889</v>
      </c>
      <c r="N36" s="685">
        <f t="shared" si="4"/>
        <v>394583.36999999988</v>
      </c>
      <c r="O36" s="686">
        <f t="shared" si="5"/>
        <v>55291.649477916413</v>
      </c>
      <c r="P36" s="680" t="s">
        <v>69</v>
      </c>
      <c r="Q36" s="613"/>
      <c r="R36" s="670"/>
      <c r="S36" s="595">
        <f t="shared" si="9"/>
        <v>1729.6446165268499</v>
      </c>
    </row>
    <row r="37" spans="2:19" ht="11.25" hidden="1" customHeight="1">
      <c r="B37" s="639">
        <v>45373</v>
      </c>
      <c r="C37" s="642" t="s">
        <v>445</v>
      </c>
      <c r="D37" s="739"/>
      <c r="E37" s="740">
        <v>16</v>
      </c>
      <c r="F37" s="640" t="s">
        <v>107</v>
      </c>
      <c r="G37" s="640"/>
      <c r="H37" s="642"/>
      <c r="I37" s="641"/>
      <c r="J37" s="643"/>
      <c r="K37" s="772">
        <v>7.2</v>
      </c>
      <c r="L37" s="612">
        <f>'통장내역(환율표)'!$D$169</f>
        <v>6.3620426398235592</v>
      </c>
      <c r="M37" s="800">
        <f t="shared" si="8"/>
        <v>1.1317120000000001</v>
      </c>
      <c r="N37" s="685">
        <f t="shared" si="4"/>
        <v>394576.16999999987</v>
      </c>
      <c r="O37" s="686">
        <f t="shared" si="5"/>
        <v>55290.517765916411</v>
      </c>
      <c r="P37" s="680" t="s">
        <v>69</v>
      </c>
      <c r="Q37" s="613"/>
      <c r="R37" s="670"/>
      <c r="S37" s="595">
        <f t="shared" si="9"/>
        <v>1728.5129045268498</v>
      </c>
    </row>
    <row r="38" spans="2:19" ht="11.25" hidden="1" customHeight="1">
      <c r="B38" s="639">
        <v>45373</v>
      </c>
      <c r="C38" s="741" t="s">
        <v>892</v>
      </c>
      <c r="D38" s="739"/>
      <c r="E38" s="740">
        <v>17</v>
      </c>
      <c r="F38" s="640" t="s">
        <v>107</v>
      </c>
      <c r="G38" s="640"/>
      <c r="H38" s="642"/>
      <c r="I38" s="641"/>
      <c r="J38" s="643"/>
      <c r="K38" s="667">
        <f>S37*L38</f>
        <v>10996.872802085087</v>
      </c>
      <c r="L38" s="612">
        <f>'통장내역(환율표)'!$D$169</f>
        <v>6.3620426398235592</v>
      </c>
      <c r="M38" s="800">
        <v>1728.5129045268498</v>
      </c>
      <c r="N38" s="685">
        <f t="shared" si="4"/>
        <v>383579.2971979148</v>
      </c>
      <c r="O38" s="686">
        <f t="shared" si="5"/>
        <v>53562.004861389563</v>
      </c>
      <c r="P38" s="680" t="s">
        <v>69</v>
      </c>
      <c r="Q38" s="613"/>
      <c r="R38" s="670" t="s">
        <v>949</v>
      </c>
      <c r="S38" s="595">
        <f t="shared" si="9"/>
        <v>0</v>
      </c>
    </row>
    <row r="39" spans="2:19" ht="11.25" hidden="1" customHeight="1">
      <c r="B39" s="639">
        <v>45373</v>
      </c>
      <c r="C39" s="741" t="s">
        <v>892</v>
      </c>
      <c r="D39" s="739"/>
      <c r="E39" s="740">
        <v>17</v>
      </c>
      <c r="F39" s="640" t="s">
        <v>107</v>
      </c>
      <c r="G39" s="640"/>
      <c r="H39" s="642"/>
      <c r="I39" s="641"/>
      <c r="J39" s="643"/>
      <c r="K39" s="667">
        <f>16000-K38</f>
        <v>5003.1271979149133</v>
      </c>
      <c r="L39" s="612">
        <f>'통장내역(환율표)'!$D$166</f>
        <v>7.161755722340466</v>
      </c>
      <c r="M39" s="691">
        <f t="shared" ref="M39:M70" si="10">K39/L39</f>
        <v>698.58947887709974</v>
      </c>
      <c r="N39" s="685">
        <f t="shared" si="4"/>
        <v>378576.16999999987</v>
      </c>
      <c r="O39" s="686">
        <f t="shared" si="5"/>
        <v>52863.415382512467</v>
      </c>
      <c r="P39" s="680" t="s">
        <v>1274</v>
      </c>
      <c r="Q39" s="613"/>
      <c r="R39" s="670" t="s">
        <v>949</v>
      </c>
      <c r="S39" s="595">
        <f>53562-'내역_24.03'!M39</f>
        <v>52863.410521122903</v>
      </c>
    </row>
    <row r="40" spans="2:19" ht="11.25" hidden="1" customHeight="1">
      <c r="B40" s="639">
        <v>45373</v>
      </c>
      <c r="C40" s="741" t="s">
        <v>947</v>
      </c>
      <c r="D40" s="739"/>
      <c r="E40" s="740">
        <v>17</v>
      </c>
      <c r="F40" s="640" t="s">
        <v>107</v>
      </c>
      <c r="G40" s="640"/>
      <c r="H40" s="642"/>
      <c r="I40" s="641"/>
      <c r="J40" s="643"/>
      <c r="K40" s="710">
        <v>24000</v>
      </c>
      <c r="L40" s="612">
        <f>'통장내역(환율표)'!$D$166</f>
        <v>7.161755722340466</v>
      </c>
      <c r="M40" s="691">
        <f t="shared" si="10"/>
        <v>3351.133567029397</v>
      </c>
      <c r="N40" s="685">
        <f t="shared" si="4"/>
        <v>354576.16999999987</v>
      </c>
      <c r="O40" s="686">
        <f t="shared" si="5"/>
        <v>49512.281815483067</v>
      </c>
      <c r="P40" s="680" t="s">
        <v>1274</v>
      </c>
      <c r="Q40" s="613"/>
      <c r="R40" s="670" t="s">
        <v>949</v>
      </c>
      <c r="S40" s="595">
        <f>S39-M40</f>
        <v>49512.276954093504</v>
      </c>
    </row>
    <row r="41" spans="2:19" ht="11.25" hidden="1" customHeight="1">
      <c r="B41" s="639">
        <v>45373</v>
      </c>
      <c r="C41" s="741" t="s">
        <v>894</v>
      </c>
      <c r="D41" s="739"/>
      <c r="E41" s="740">
        <v>17</v>
      </c>
      <c r="F41" s="640" t="s">
        <v>107</v>
      </c>
      <c r="G41" s="640"/>
      <c r="H41" s="642"/>
      <c r="I41" s="641"/>
      <c r="J41" s="643"/>
      <c r="K41" s="710">
        <v>4965.99</v>
      </c>
      <c r="L41" s="612">
        <f>'통장내역(환율표)'!$D$166</f>
        <v>7.161755722340466</v>
      </c>
      <c r="M41" s="691">
        <f t="shared" si="10"/>
        <v>693.40399093884639</v>
      </c>
      <c r="N41" s="685">
        <f t="shared" si="4"/>
        <v>349610.17999999988</v>
      </c>
      <c r="O41" s="686">
        <f t="shared" si="5"/>
        <v>48818.877824544223</v>
      </c>
      <c r="P41" s="680" t="s">
        <v>1274</v>
      </c>
      <c r="Q41" s="613"/>
      <c r="R41" s="670" t="s">
        <v>949</v>
      </c>
      <c r="S41" s="595">
        <f t="shared" ref="S41:S104" si="11">S40-M41</f>
        <v>48818.872963154659</v>
      </c>
    </row>
    <row r="42" spans="2:19" ht="11.25" hidden="1" customHeight="1">
      <c r="B42" s="639">
        <v>45373</v>
      </c>
      <c r="C42" s="741" t="s">
        <v>895</v>
      </c>
      <c r="D42" s="739"/>
      <c r="E42" s="740">
        <v>17</v>
      </c>
      <c r="F42" s="640" t="s">
        <v>107</v>
      </c>
      <c r="G42" s="640"/>
      <c r="H42" s="642"/>
      <c r="I42" s="641"/>
      <c r="J42" s="643"/>
      <c r="K42" s="710">
        <v>3336.7999999999993</v>
      </c>
      <c r="L42" s="612">
        <f>'통장내역(환율표)'!$D$166</f>
        <v>7.161755722340466</v>
      </c>
      <c r="M42" s="691">
        <f t="shared" si="10"/>
        <v>465.91927026932035</v>
      </c>
      <c r="N42" s="685">
        <f t="shared" si="4"/>
        <v>346273.37999999989</v>
      </c>
      <c r="O42" s="686">
        <f t="shared" si="5"/>
        <v>48352.958554274905</v>
      </c>
      <c r="P42" s="680" t="s">
        <v>1274</v>
      </c>
      <c r="Q42" s="613"/>
      <c r="R42" s="670" t="s">
        <v>949</v>
      </c>
      <c r="S42" s="595">
        <f t="shared" si="11"/>
        <v>48352.953692885341</v>
      </c>
    </row>
    <row r="43" spans="2:19" ht="11.25" hidden="1" customHeight="1">
      <c r="B43" s="639">
        <v>45373</v>
      </c>
      <c r="C43" s="741" t="s">
        <v>899</v>
      </c>
      <c r="D43" s="739"/>
      <c r="E43" s="740">
        <v>17</v>
      </c>
      <c r="F43" s="640" t="s">
        <v>107</v>
      </c>
      <c r="G43" s="640"/>
      <c r="H43" s="642"/>
      <c r="I43" s="641"/>
      <c r="J43" s="643"/>
      <c r="K43" s="711">
        <v>300</v>
      </c>
      <c r="L43" s="612">
        <f>'통장내역(환율표)'!$D$166</f>
        <v>7.161755722340466</v>
      </c>
      <c r="M43" s="691">
        <f t="shared" si="10"/>
        <v>41.889169587867457</v>
      </c>
      <c r="N43" s="685">
        <f t="shared" si="4"/>
        <v>345973.37999999989</v>
      </c>
      <c r="O43" s="686">
        <f t="shared" si="5"/>
        <v>48311.069384687034</v>
      </c>
      <c r="P43" s="680" t="s">
        <v>1274</v>
      </c>
      <c r="Q43" s="613"/>
      <c r="R43" s="670" t="s">
        <v>949</v>
      </c>
      <c r="S43" s="595">
        <f t="shared" si="11"/>
        <v>48311.064523297471</v>
      </c>
    </row>
    <row r="44" spans="2:19" ht="11.25" hidden="1" customHeight="1">
      <c r="B44" s="639">
        <v>45373</v>
      </c>
      <c r="C44" s="741" t="s">
        <v>892</v>
      </c>
      <c r="D44" s="739"/>
      <c r="E44" s="740">
        <v>17</v>
      </c>
      <c r="F44" s="640" t="s">
        <v>107</v>
      </c>
      <c r="G44" s="640"/>
      <c r="H44" s="642"/>
      <c r="I44" s="641"/>
      <c r="J44" s="643"/>
      <c r="K44" s="710">
        <v>15000</v>
      </c>
      <c r="L44" s="612">
        <f>'통장내역(환율표)'!$D$166</f>
        <v>7.161755722340466</v>
      </c>
      <c r="M44" s="691">
        <f t="shared" si="10"/>
        <v>2094.4584793933732</v>
      </c>
      <c r="N44" s="685">
        <f t="shared" si="4"/>
        <v>330973.37999999989</v>
      </c>
      <c r="O44" s="686">
        <f t="shared" si="5"/>
        <v>46216.610905293659</v>
      </c>
      <c r="P44" s="680" t="s">
        <v>1274</v>
      </c>
      <c r="Q44" s="613"/>
      <c r="R44" s="670" t="s">
        <v>950</v>
      </c>
      <c r="S44" s="595">
        <f t="shared" si="11"/>
        <v>46216.606043904096</v>
      </c>
    </row>
    <row r="45" spans="2:19" ht="11.25" hidden="1" customHeight="1">
      <c r="B45" s="639">
        <v>45373</v>
      </c>
      <c r="C45" s="741" t="s">
        <v>947</v>
      </c>
      <c r="D45" s="739"/>
      <c r="E45" s="740">
        <v>17</v>
      </c>
      <c r="F45" s="640" t="s">
        <v>107</v>
      </c>
      <c r="G45" s="640"/>
      <c r="H45" s="642"/>
      <c r="I45" s="641"/>
      <c r="J45" s="643"/>
      <c r="K45" s="667">
        <v>22000</v>
      </c>
      <c r="L45" s="612">
        <f>'통장내역(환율표)'!$D$166</f>
        <v>7.161755722340466</v>
      </c>
      <c r="M45" s="691">
        <f t="shared" si="10"/>
        <v>3071.8724364436139</v>
      </c>
      <c r="N45" s="685">
        <f t="shared" si="4"/>
        <v>308973.37999999989</v>
      </c>
      <c r="O45" s="686">
        <f t="shared" si="5"/>
        <v>43144.738468850046</v>
      </c>
      <c r="P45" s="680" t="s">
        <v>1274</v>
      </c>
      <c r="Q45" s="613"/>
      <c r="R45" s="670" t="s">
        <v>950</v>
      </c>
      <c r="S45" s="595">
        <f t="shared" si="11"/>
        <v>43144.733607460483</v>
      </c>
    </row>
    <row r="46" spans="2:19" ht="11.25" hidden="1" customHeight="1">
      <c r="B46" s="639">
        <v>45373</v>
      </c>
      <c r="C46" s="741" t="s">
        <v>894</v>
      </c>
      <c r="D46" s="739"/>
      <c r="E46" s="740">
        <v>17</v>
      </c>
      <c r="F46" s="640" t="s">
        <v>107</v>
      </c>
      <c r="G46" s="640"/>
      <c r="H46" s="642"/>
      <c r="I46" s="641"/>
      <c r="J46" s="643"/>
      <c r="K46" s="667">
        <v>8408.1899999999987</v>
      </c>
      <c r="L46" s="612">
        <f>'통장내역(환율표)'!$D$166</f>
        <v>7.161755722340466</v>
      </c>
      <c r="M46" s="691">
        <f t="shared" si="10"/>
        <v>1174.0403227900374</v>
      </c>
      <c r="N46" s="685">
        <f t="shared" si="4"/>
        <v>300565.18999999989</v>
      </c>
      <c r="O46" s="686">
        <f t="shared" si="5"/>
        <v>41970.698146060007</v>
      </c>
      <c r="P46" s="680" t="s">
        <v>1274</v>
      </c>
      <c r="Q46" s="613"/>
      <c r="R46" s="670" t="s">
        <v>950</v>
      </c>
      <c r="S46" s="595">
        <f t="shared" si="11"/>
        <v>41970.693284670444</v>
      </c>
    </row>
    <row r="47" spans="2:19" ht="11.25" hidden="1" customHeight="1">
      <c r="B47" s="639">
        <v>45373</v>
      </c>
      <c r="C47" s="741" t="s">
        <v>895</v>
      </c>
      <c r="D47" s="739"/>
      <c r="E47" s="740">
        <v>17</v>
      </c>
      <c r="F47" s="640" t="s">
        <v>107</v>
      </c>
      <c r="G47" s="640"/>
      <c r="H47" s="642"/>
      <c r="I47" s="641"/>
      <c r="J47" s="643"/>
      <c r="K47" s="667">
        <v>2867</v>
      </c>
      <c r="L47" s="612">
        <f>'통장내역(환율표)'!$D$166</f>
        <v>7.161755722340466</v>
      </c>
      <c r="M47" s="691">
        <f t="shared" si="10"/>
        <v>400.32083069472003</v>
      </c>
      <c r="N47" s="685">
        <f t="shared" si="4"/>
        <v>297698.18999999989</v>
      </c>
      <c r="O47" s="686">
        <f t="shared" si="5"/>
        <v>41570.377315365287</v>
      </c>
      <c r="P47" s="680" t="s">
        <v>1274</v>
      </c>
      <c r="Q47" s="613"/>
      <c r="R47" s="670" t="s">
        <v>950</v>
      </c>
      <c r="S47" s="595">
        <f t="shared" si="11"/>
        <v>41570.372453975724</v>
      </c>
    </row>
    <row r="48" spans="2:19" ht="11.25" hidden="1" customHeight="1">
      <c r="B48" s="639">
        <v>45373</v>
      </c>
      <c r="C48" s="741" t="s">
        <v>899</v>
      </c>
      <c r="D48" s="739"/>
      <c r="E48" s="740">
        <v>17</v>
      </c>
      <c r="F48" s="640" t="s">
        <v>107</v>
      </c>
      <c r="G48" s="640"/>
      <c r="H48" s="642"/>
      <c r="I48" s="641"/>
      <c r="J48" s="643"/>
      <c r="K48" s="667">
        <v>300</v>
      </c>
      <c r="L48" s="612">
        <f>'통장내역(환율표)'!$D$166</f>
        <v>7.161755722340466</v>
      </c>
      <c r="M48" s="691">
        <f t="shared" si="10"/>
        <v>41.889169587867457</v>
      </c>
      <c r="N48" s="685">
        <f t="shared" si="4"/>
        <v>297398.18999999989</v>
      </c>
      <c r="O48" s="686">
        <f t="shared" si="5"/>
        <v>41528.488145777417</v>
      </c>
      <c r="P48" s="680" t="s">
        <v>1274</v>
      </c>
      <c r="Q48" s="613"/>
      <c r="R48" s="670" t="s">
        <v>950</v>
      </c>
      <c r="S48" s="595">
        <f t="shared" si="11"/>
        <v>41528.483284387854</v>
      </c>
    </row>
    <row r="49" spans="2:19" ht="11.25" hidden="1" customHeight="1">
      <c r="B49" s="639">
        <v>45373</v>
      </c>
      <c r="C49" s="741" t="s">
        <v>898</v>
      </c>
      <c r="D49" s="739"/>
      <c r="E49" s="740">
        <v>17</v>
      </c>
      <c r="F49" s="640" t="s">
        <v>107</v>
      </c>
      <c r="G49" s="640"/>
      <c r="H49" s="642"/>
      <c r="I49" s="641"/>
      <c r="J49" s="643"/>
      <c r="K49" s="667">
        <v>25000</v>
      </c>
      <c r="L49" s="612">
        <f>'통장내역(환율표)'!$D$166</f>
        <v>7.161755722340466</v>
      </c>
      <c r="M49" s="691">
        <f t="shared" si="10"/>
        <v>3490.7641323222883</v>
      </c>
      <c r="N49" s="685">
        <f t="shared" si="4"/>
        <v>272398.18999999989</v>
      </c>
      <c r="O49" s="686">
        <f t="shared" si="5"/>
        <v>38037.724013455132</v>
      </c>
      <c r="P49" s="680" t="s">
        <v>1274</v>
      </c>
      <c r="Q49" s="613"/>
      <c r="R49" s="712" t="s">
        <v>951</v>
      </c>
      <c r="S49" s="595">
        <f t="shared" si="11"/>
        <v>38037.719152065569</v>
      </c>
    </row>
    <row r="50" spans="2:19" ht="11.25" hidden="1" customHeight="1">
      <c r="B50" s="639">
        <v>45373</v>
      </c>
      <c r="C50" s="741" t="s">
        <v>948</v>
      </c>
      <c r="D50" s="739"/>
      <c r="E50" s="740">
        <v>17</v>
      </c>
      <c r="F50" s="640" t="s">
        <v>107</v>
      </c>
      <c r="G50" s="640"/>
      <c r="H50" s="642"/>
      <c r="I50" s="641"/>
      <c r="J50" s="643"/>
      <c r="K50" s="667">
        <v>6686.19</v>
      </c>
      <c r="L50" s="612">
        <f>'통장내역(환율표)'!$D$166</f>
        <v>7.161755722340466</v>
      </c>
      <c r="M50" s="691">
        <f t="shared" si="10"/>
        <v>933.59648935567839</v>
      </c>
      <c r="N50" s="685">
        <f t="shared" si="4"/>
        <v>265711.99999999988</v>
      </c>
      <c r="O50" s="686">
        <f t="shared" si="5"/>
        <v>37104.127524099451</v>
      </c>
      <c r="P50" s="680" t="s">
        <v>1274</v>
      </c>
      <c r="Q50" s="613"/>
      <c r="R50" s="712" t="s">
        <v>951</v>
      </c>
      <c r="S50" s="595">
        <f t="shared" si="11"/>
        <v>37104.122662709888</v>
      </c>
    </row>
    <row r="51" spans="2:19" ht="11.25" hidden="1" customHeight="1">
      <c r="B51" s="639">
        <v>45373</v>
      </c>
      <c r="C51" s="741" t="s">
        <v>899</v>
      </c>
      <c r="D51" s="739"/>
      <c r="E51" s="740">
        <v>17</v>
      </c>
      <c r="F51" s="640" t="s">
        <v>107</v>
      </c>
      <c r="G51" s="640"/>
      <c r="H51" s="642"/>
      <c r="I51" s="641"/>
      <c r="J51" s="643"/>
      <c r="K51" s="667">
        <v>300</v>
      </c>
      <c r="L51" s="612">
        <f>'통장내역(환율표)'!$D$166</f>
        <v>7.161755722340466</v>
      </c>
      <c r="M51" s="691">
        <f t="shared" si="10"/>
        <v>41.889169587867457</v>
      </c>
      <c r="N51" s="685">
        <f t="shared" ref="N51:N82" si="12">N50+H51-K51</f>
        <v>265411.99999999988</v>
      </c>
      <c r="O51" s="686">
        <f t="shared" ref="O51:O82" si="13">O50+J51-M51</f>
        <v>37062.238354511581</v>
      </c>
      <c r="P51" s="680" t="s">
        <v>1274</v>
      </c>
      <c r="Q51" s="613"/>
      <c r="R51" s="712" t="s">
        <v>951</v>
      </c>
      <c r="S51" s="595">
        <f t="shared" si="11"/>
        <v>37062.233493122018</v>
      </c>
    </row>
    <row r="52" spans="2:19" ht="11.25" hidden="1" customHeight="1">
      <c r="B52" s="639">
        <v>45373</v>
      </c>
      <c r="C52" s="741" t="s">
        <v>992</v>
      </c>
      <c r="D52" s="739"/>
      <c r="E52" s="740">
        <v>17</v>
      </c>
      <c r="F52" s="640" t="s">
        <v>107</v>
      </c>
      <c r="G52" s="640"/>
      <c r="H52" s="642"/>
      <c r="I52" s="641"/>
      <c r="J52" s="643"/>
      <c r="K52" s="667">
        <v>1000</v>
      </c>
      <c r="L52" s="612">
        <f>'통장내역(환율표)'!$D$166</f>
        <v>7.161755722340466</v>
      </c>
      <c r="M52" s="691">
        <f t="shared" si="10"/>
        <v>139.63056529289153</v>
      </c>
      <c r="N52" s="685">
        <f t="shared" si="12"/>
        <v>264411.99999999988</v>
      </c>
      <c r="O52" s="686">
        <f t="shared" si="13"/>
        <v>36922.607789218688</v>
      </c>
      <c r="P52" s="680" t="s">
        <v>1274</v>
      </c>
      <c r="Q52" s="613"/>
      <c r="R52" s="712" t="s">
        <v>951</v>
      </c>
      <c r="S52" s="595">
        <f t="shared" si="11"/>
        <v>36922.602927829124</v>
      </c>
    </row>
    <row r="53" spans="2:19" ht="11.25" hidden="1" customHeight="1">
      <c r="B53" s="639">
        <v>45373</v>
      </c>
      <c r="C53" s="741" t="s">
        <v>898</v>
      </c>
      <c r="D53" s="739"/>
      <c r="E53" s="740">
        <v>17</v>
      </c>
      <c r="F53" s="640" t="s">
        <v>107</v>
      </c>
      <c r="G53" s="640"/>
      <c r="H53" s="642"/>
      <c r="I53" s="641"/>
      <c r="J53" s="643"/>
      <c r="K53" s="667">
        <v>13000</v>
      </c>
      <c r="L53" s="612">
        <f>'통장내역(환율표)'!$D$166</f>
        <v>7.161755722340466</v>
      </c>
      <c r="M53" s="691">
        <f t="shared" si="10"/>
        <v>1815.1973488075898</v>
      </c>
      <c r="N53" s="685">
        <f t="shared" si="12"/>
        <v>251411.99999999988</v>
      </c>
      <c r="O53" s="686">
        <f t="shared" si="13"/>
        <v>35107.410440411099</v>
      </c>
      <c r="P53" s="680" t="s">
        <v>1274</v>
      </c>
      <c r="Q53" s="613"/>
      <c r="R53" s="670" t="s">
        <v>952</v>
      </c>
      <c r="S53" s="595">
        <f t="shared" si="11"/>
        <v>35107.405579021535</v>
      </c>
    </row>
    <row r="54" spans="2:19" ht="11.25" hidden="1" customHeight="1">
      <c r="B54" s="639">
        <v>45373</v>
      </c>
      <c r="C54" s="741" t="s">
        <v>948</v>
      </c>
      <c r="D54" s="739"/>
      <c r="E54" s="740">
        <v>17</v>
      </c>
      <c r="F54" s="640" t="s">
        <v>107</v>
      </c>
      <c r="G54" s="640"/>
      <c r="H54" s="642"/>
      <c r="I54" s="641"/>
      <c r="J54" s="643"/>
      <c r="K54" s="667">
        <v>2911.59</v>
      </c>
      <c r="L54" s="612">
        <f>'통장내역(환율표)'!$D$166</f>
        <v>7.161755722340466</v>
      </c>
      <c r="M54" s="691">
        <f t="shared" si="10"/>
        <v>406.54695760113009</v>
      </c>
      <c r="N54" s="685">
        <f t="shared" si="12"/>
        <v>248500.40999999989</v>
      </c>
      <c r="O54" s="686">
        <f t="shared" si="13"/>
        <v>34700.863482809968</v>
      </c>
      <c r="P54" s="680" t="s">
        <v>1274</v>
      </c>
      <c r="Q54" s="613"/>
      <c r="R54" s="670" t="s">
        <v>952</v>
      </c>
      <c r="S54" s="595">
        <f t="shared" si="11"/>
        <v>34700.858621420404</v>
      </c>
    </row>
    <row r="55" spans="2:19" ht="11.25" hidden="1" customHeight="1">
      <c r="B55" s="639">
        <v>45373</v>
      </c>
      <c r="C55" s="741" t="s">
        <v>899</v>
      </c>
      <c r="D55" s="739"/>
      <c r="E55" s="740">
        <v>17</v>
      </c>
      <c r="F55" s="640" t="s">
        <v>107</v>
      </c>
      <c r="G55" s="640"/>
      <c r="H55" s="642"/>
      <c r="I55" s="641"/>
      <c r="J55" s="643"/>
      <c r="K55" s="667">
        <v>300</v>
      </c>
      <c r="L55" s="612">
        <f>'통장내역(환율표)'!$D$166</f>
        <v>7.161755722340466</v>
      </c>
      <c r="M55" s="691">
        <f t="shared" si="10"/>
        <v>41.889169587867457</v>
      </c>
      <c r="N55" s="685">
        <f t="shared" si="12"/>
        <v>248200.40999999989</v>
      </c>
      <c r="O55" s="686">
        <f t="shared" si="13"/>
        <v>34658.974313222097</v>
      </c>
      <c r="P55" s="680" t="s">
        <v>1274</v>
      </c>
      <c r="Q55" s="613"/>
      <c r="R55" s="670" t="s">
        <v>952</v>
      </c>
      <c r="S55" s="595">
        <f t="shared" si="11"/>
        <v>34658.969451832534</v>
      </c>
    </row>
    <row r="56" spans="2:19" ht="11.25" hidden="1" customHeight="1">
      <c r="B56" s="639">
        <v>45373</v>
      </c>
      <c r="C56" s="728" t="s">
        <v>992</v>
      </c>
      <c r="D56" s="739"/>
      <c r="E56" s="740">
        <v>17</v>
      </c>
      <c r="F56" s="640" t="s">
        <v>107</v>
      </c>
      <c r="G56" s="640"/>
      <c r="H56" s="642"/>
      <c r="I56" s="641"/>
      <c r="J56" s="643"/>
      <c r="K56" s="667">
        <v>1400</v>
      </c>
      <c r="L56" s="612">
        <f>'통장내역(환율표)'!$D$166</f>
        <v>7.161755722340466</v>
      </c>
      <c r="M56" s="691">
        <f t="shared" si="10"/>
        <v>195.48279141004815</v>
      </c>
      <c r="N56" s="685">
        <f t="shared" si="12"/>
        <v>246800.40999999989</v>
      </c>
      <c r="O56" s="686">
        <f t="shared" si="13"/>
        <v>34463.491521812051</v>
      </c>
      <c r="P56" s="680" t="s">
        <v>1274</v>
      </c>
      <c r="Q56" s="613"/>
      <c r="R56" s="670" t="s">
        <v>952</v>
      </c>
      <c r="S56" s="595">
        <f t="shared" si="11"/>
        <v>34463.486660422488</v>
      </c>
    </row>
    <row r="57" spans="2:19" ht="11.25" hidden="1" customHeight="1">
      <c r="B57" s="639">
        <v>45373</v>
      </c>
      <c r="C57" s="741" t="s">
        <v>898</v>
      </c>
      <c r="D57" s="739"/>
      <c r="E57" s="740">
        <v>17</v>
      </c>
      <c r="F57" s="640" t="s">
        <v>107</v>
      </c>
      <c r="G57" s="640"/>
      <c r="H57" s="642"/>
      <c r="I57" s="758"/>
      <c r="J57" s="643"/>
      <c r="K57" s="667">
        <v>25000</v>
      </c>
      <c r="L57" s="612">
        <f>'통장내역(환율표)'!$D$166</f>
        <v>7.161755722340466</v>
      </c>
      <c r="M57" s="691">
        <f t="shared" si="10"/>
        <v>3490.7641323222883</v>
      </c>
      <c r="N57" s="759">
        <f t="shared" si="12"/>
        <v>221800.40999999989</v>
      </c>
      <c r="O57" s="760">
        <f t="shared" si="13"/>
        <v>30972.727389489763</v>
      </c>
      <c r="P57" s="761" t="s">
        <v>1274</v>
      </c>
      <c r="Q57" s="713"/>
      <c r="R57" s="713" t="s">
        <v>953</v>
      </c>
      <c r="S57" s="595">
        <f t="shared" si="11"/>
        <v>30972.722528100199</v>
      </c>
    </row>
    <row r="58" spans="2:19" ht="11.25" hidden="1" customHeight="1">
      <c r="B58" s="639">
        <v>45373</v>
      </c>
      <c r="C58" s="741" t="s">
        <v>948</v>
      </c>
      <c r="D58" s="739"/>
      <c r="E58" s="740">
        <v>17</v>
      </c>
      <c r="F58" s="640" t="s">
        <v>107</v>
      </c>
      <c r="G58" s="640"/>
      <c r="H58" s="642"/>
      <c r="I58" s="758"/>
      <c r="J58" s="643"/>
      <c r="K58" s="667">
        <v>6686.19</v>
      </c>
      <c r="L58" s="612">
        <f>'통장내역(환율표)'!$D$166</f>
        <v>7.161755722340466</v>
      </c>
      <c r="M58" s="691">
        <f t="shared" si="10"/>
        <v>933.59648935567839</v>
      </c>
      <c r="N58" s="759">
        <f t="shared" si="12"/>
        <v>215114.21999999988</v>
      </c>
      <c r="O58" s="760">
        <f t="shared" si="13"/>
        <v>30039.130900134085</v>
      </c>
      <c r="P58" s="761" t="s">
        <v>1274</v>
      </c>
      <c r="Q58" s="713"/>
      <c r="R58" s="713" t="s">
        <v>953</v>
      </c>
      <c r="S58" s="595">
        <f t="shared" si="11"/>
        <v>30039.126038744522</v>
      </c>
    </row>
    <row r="59" spans="2:19" ht="11.25" hidden="1" customHeight="1">
      <c r="B59" s="639">
        <v>45373</v>
      </c>
      <c r="C59" s="741" t="s">
        <v>899</v>
      </c>
      <c r="D59" s="739"/>
      <c r="E59" s="740">
        <v>17</v>
      </c>
      <c r="F59" s="640" t="s">
        <v>107</v>
      </c>
      <c r="G59" s="640"/>
      <c r="H59" s="642"/>
      <c r="I59" s="758"/>
      <c r="J59" s="643"/>
      <c r="K59" s="667">
        <v>300</v>
      </c>
      <c r="L59" s="612">
        <f>'통장내역(환율표)'!$D$166</f>
        <v>7.161755722340466</v>
      </c>
      <c r="M59" s="691">
        <f t="shared" si="10"/>
        <v>41.889169587867457</v>
      </c>
      <c r="N59" s="759">
        <f t="shared" si="12"/>
        <v>214814.21999999988</v>
      </c>
      <c r="O59" s="760">
        <f t="shared" si="13"/>
        <v>29997.241730546219</v>
      </c>
      <c r="P59" s="761" t="s">
        <v>1274</v>
      </c>
      <c r="Q59" s="713"/>
      <c r="R59" s="713" t="s">
        <v>953</v>
      </c>
      <c r="S59" s="595">
        <f t="shared" si="11"/>
        <v>29997.236869156655</v>
      </c>
    </row>
    <row r="60" spans="2:19" ht="11.25" hidden="1" customHeight="1">
      <c r="B60" s="639">
        <v>45373</v>
      </c>
      <c r="C60" s="741" t="s">
        <v>992</v>
      </c>
      <c r="D60" s="739"/>
      <c r="E60" s="740">
        <v>17</v>
      </c>
      <c r="F60" s="640" t="s">
        <v>107</v>
      </c>
      <c r="G60" s="640"/>
      <c r="H60" s="642"/>
      <c r="I60" s="758"/>
      <c r="J60" s="643"/>
      <c r="K60" s="667">
        <v>300</v>
      </c>
      <c r="L60" s="612">
        <f>'통장내역(환율표)'!$D$166</f>
        <v>7.161755722340466</v>
      </c>
      <c r="M60" s="691">
        <f t="shared" si="10"/>
        <v>41.889169587867457</v>
      </c>
      <c r="N60" s="759">
        <f t="shared" si="12"/>
        <v>214514.21999999988</v>
      </c>
      <c r="O60" s="760">
        <f t="shared" si="13"/>
        <v>29955.352560958352</v>
      </c>
      <c r="P60" s="761" t="s">
        <v>1274</v>
      </c>
      <c r="Q60" s="713"/>
      <c r="R60" s="713" t="s">
        <v>953</v>
      </c>
      <c r="S60" s="595">
        <f t="shared" si="11"/>
        <v>29955.347699568789</v>
      </c>
    </row>
    <row r="61" spans="2:19" ht="11.25" hidden="1" customHeight="1">
      <c r="B61" s="639">
        <v>45373</v>
      </c>
      <c r="C61" s="728" t="s">
        <v>250</v>
      </c>
      <c r="D61" s="739"/>
      <c r="E61" s="740">
        <v>18</v>
      </c>
      <c r="F61" s="640" t="s">
        <v>107</v>
      </c>
      <c r="G61" s="640"/>
      <c r="H61" s="642"/>
      <c r="I61" s="758"/>
      <c r="J61" s="643"/>
      <c r="K61" s="667">
        <v>12</v>
      </c>
      <c r="L61" s="612">
        <f>'통장내역(환율표)'!$D$166</f>
        <v>7.161755722340466</v>
      </c>
      <c r="M61" s="691">
        <f t="shared" si="10"/>
        <v>1.6755667835146983</v>
      </c>
      <c r="N61" s="759">
        <f t="shared" si="12"/>
        <v>214502.21999999988</v>
      </c>
      <c r="O61" s="760">
        <f t="shared" si="13"/>
        <v>29953.676994174839</v>
      </c>
      <c r="P61" s="761" t="s">
        <v>1274</v>
      </c>
      <c r="Q61" s="713"/>
      <c r="R61" s="713"/>
      <c r="S61" s="595">
        <f t="shared" si="11"/>
        <v>29953.672132785276</v>
      </c>
    </row>
    <row r="62" spans="2:19" ht="11.25" hidden="1" customHeight="1">
      <c r="B62" s="639">
        <v>45373</v>
      </c>
      <c r="C62" s="741" t="s">
        <v>885</v>
      </c>
      <c r="D62" s="739"/>
      <c r="E62" s="740">
        <v>19</v>
      </c>
      <c r="F62" s="640" t="s">
        <v>107</v>
      </c>
      <c r="G62" s="640"/>
      <c r="H62" s="642"/>
      <c r="I62" s="641"/>
      <c r="J62" s="643"/>
      <c r="K62" s="667">
        <v>1010</v>
      </c>
      <c r="L62" s="612">
        <f>'통장내역(환율표)'!$D$166</f>
        <v>7.161755722340466</v>
      </c>
      <c r="M62" s="691">
        <f t="shared" si="10"/>
        <v>141.02687094582046</v>
      </c>
      <c r="N62" s="685">
        <f t="shared" si="12"/>
        <v>213492.21999999988</v>
      </c>
      <c r="O62" s="686">
        <f t="shared" si="13"/>
        <v>29812.650123229017</v>
      </c>
      <c r="P62" s="680" t="s">
        <v>1274</v>
      </c>
      <c r="Q62" s="613"/>
      <c r="R62" s="670"/>
      <c r="S62" s="595">
        <f t="shared" si="11"/>
        <v>29812.645261839454</v>
      </c>
    </row>
    <row r="63" spans="2:19" ht="11.25" hidden="1" customHeight="1">
      <c r="B63" s="639">
        <v>45373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667">
        <v>3.6</v>
      </c>
      <c r="L63" s="612">
        <f>'통장내역(환율표)'!$D$166</f>
        <v>7.161755722340466</v>
      </c>
      <c r="M63" s="691">
        <f t="shared" si="10"/>
        <v>0.50267003505440955</v>
      </c>
      <c r="N63" s="759">
        <f t="shared" si="12"/>
        <v>213488.61999999988</v>
      </c>
      <c r="O63" s="760">
        <f t="shared" si="13"/>
        <v>29812.147453193964</v>
      </c>
      <c r="P63" s="761" t="s">
        <v>1274</v>
      </c>
      <c r="Q63" s="713"/>
      <c r="R63" s="713"/>
      <c r="S63" s="595">
        <f t="shared" si="11"/>
        <v>29812.142591804401</v>
      </c>
    </row>
    <row r="64" spans="2:19" ht="11.25" hidden="1" customHeight="1">
      <c r="B64" s="639">
        <v>45373</v>
      </c>
      <c r="C64" s="728" t="s">
        <v>1008</v>
      </c>
      <c r="D64" s="739"/>
      <c r="E64" s="740">
        <v>21</v>
      </c>
      <c r="F64" s="640" t="s">
        <v>146</v>
      </c>
      <c r="G64" s="773" t="s">
        <v>322</v>
      </c>
      <c r="H64" s="642"/>
      <c r="I64" s="758"/>
      <c r="J64" s="643"/>
      <c r="K64" s="667">
        <v>3308</v>
      </c>
      <c r="L64" s="612">
        <f>'통장내역(환율표)'!$D$166</f>
        <v>7.161755722340466</v>
      </c>
      <c r="M64" s="691">
        <f t="shared" si="10"/>
        <v>461.8979099888852</v>
      </c>
      <c r="N64" s="759">
        <f t="shared" si="12"/>
        <v>210180.61999999988</v>
      </c>
      <c r="O64" s="760">
        <f t="shared" si="13"/>
        <v>29350.249543205078</v>
      </c>
      <c r="P64" s="761" t="s">
        <v>1274</v>
      </c>
      <c r="Q64" s="713"/>
      <c r="R64" s="713"/>
      <c r="S64" s="595">
        <f t="shared" si="11"/>
        <v>29350.244681815515</v>
      </c>
    </row>
    <row r="65" spans="2:19" ht="11.25" hidden="1" customHeight="1">
      <c r="B65" s="639">
        <v>45373</v>
      </c>
      <c r="C65" s="728" t="s">
        <v>1006</v>
      </c>
      <c r="D65" s="739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667">
        <v>1255</v>
      </c>
      <c r="L65" s="612">
        <f>'통장내역(환율표)'!$D$166</f>
        <v>7.161755722340466</v>
      </c>
      <c r="M65" s="691">
        <f t="shared" si="10"/>
        <v>175.23635944257887</v>
      </c>
      <c r="N65" s="759">
        <f t="shared" si="12"/>
        <v>208925.61999999988</v>
      </c>
      <c r="O65" s="760">
        <f t="shared" si="13"/>
        <v>29175.013183762498</v>
      </c>
      <c r="P65" s="761" t="s">
        <v>1274</v>
      </c>
      <c r="Q65" s="713"/>
      <c r="R65" s="713"/>
      <c r="S65" s="595">
        <f t="shared" si="11"/>
        <v>29175.008322372934</v>
      </c>
    </row>
    <row r="66" spans="2:19" ht="11.25" hidden="1" customHeight="1">
      <c r="B66" s="639">
        <v>45373</v>
      </c>
      <c r="C66" s="728" t="s">
        <v>1007</v>
      </c>
      <c r="D66" s="739"/>
      <c r="E66" s="740">
        <v>23</v>
      </c>
      <c r="F66" s="640" t="s">
        <v>146</v>
      </c>
      <c r="G66" s="640" t="s">
        <v>322</v>
      </c>
      <c r="H66" s="642"/>
      <c r="I66" s="758"/>
      <c r="J66" s="643"/>
      <c r="K66" s="667">
        <v>509</v>
      </c>
      <c r="L66" s="612">
        <f>'통장내역(환율표)'!$D$166</f>
        <v>7.161755722340466</v>
      </c>
      <c r="M66" s="691">
        <f t="shared" si="10"/>
        <v>71.071957734081792</v>
      </c>
      <c r="N66" s="759">
        <f t="shared" si="12"/>
        <v>208416.61999999988</v>
      </c>
      <c r="O66" s="760">
        <f t="shared" si="13"/>
        <v>29103.941226028415</v>
      </c>
      <c r="P66" s="761" t="s">
        <v>1274</v>
      </c>
      <c r="Q66" s="713"/>
      <c r="R66" s="713"/>
      <c r="S66" s="595">
        <f t="shared" si="11"/>
        <v>29103.936364638852</v>
      </c>
    </row>
    <row r="67" spans="2:19" ht="11.25" hidden="1" customHeight="1">
      <c r="B67" s="639">
        <v>45373</v>
      </c>
      <c r="C67" s="728" t="s">
        <v>250</v>
      </c>
      <c r="D67" s="739"/>
      <c r="E67" s="740">
        <v>24</v>
      </c>
      <c r="F67" s="640" t="s">
        <v>107</v>
      </c>
      <c r="G67" s="640"/>
      <c r="H67" s="642"/>
      <c r="I67" s="758"/>
      <c r="J67" s="643"/>
      <c r="K67" s="667">
        <v>3.6</v>
      </c>
      <c r="L67" s="612">
        <f>'통장내역(환율표)'!$D$166</f>
        <v>7.161755722340466</v>
      </c>
      <c r="M67" s="691">
        <f t="shared" si="10"/>
        <v>0.50267003505440955</v>
      </c>
      <c r="N67" s="759">
        <f t="shared" si="12"/>
        <v>208413.01999999987</v>
      </c>
      <c r="O67" s="760">
        <f t="shared" si="13"/>
        <v>29103.438555993362</v>
      </c>
      <c r="P67" s="761" t="s">
        <v>1274</v>
      </c>
      <c r="Q67" s="713"/>
      <c r="R67" s="713"/>
      <c r="S67" s="595">
        <f t="shared" si="11"/>
        <v>29103.433694603798</v>
      </c>
    </row>
    <row r="68" spans="2:19" ht="11.25" hidden="1" customHeight="1">
      <c r="B68" s="639">
        <v>45373</v>
      </c>
      <c r="C68" s="728" t="s">
        <v>1004</v>
      </c>
      <c r="D68" s="739"/>
      <c r="E68" s="740">
        <v>25</v>
      </c>
      <c r="F68" s="640" t="s">
        <v>146</v>
      </c>
      <c r="G68" s="640" t="s">
        <v>322</v>
      </c>
      <c r="H68" s="642"/>
      <c r="I68" s="758"/>
      <c r="J68" s="643"/>
      <c r="K68" s="667">
        <v>529</v>
      </c>
      <c r="L68" s="612">
        <f>'통장내역(환율표)'!$D$166</f>
        <v>7.161755722340466</v>
      </c>
      <c r="M68" s="691">
        <f t="shared" si="10"/>
        <v>73.864569039939624</v>
      </c>
      <c r="N68" s="759">
        <f t="shared" si="12"/>
        <v>207884.01999999987</v>
      </c>
      <c r="O68" s="760">
        <f t="shared" si="13"/>
        <v>29029.573986953423</v>
      </c>
      <c r="P68" s="761" t="s">
        <v>1274</v>
      </c>
      <c r="Q68" s="713"/>
      <c r="R68" s="713"/>
      <c r="S68" s="595">
        <f t="shared" si="11"/>
        <v>29029.569125563859</v>
      </c>
    </row>
    <row r="69" spans="2:19" ht="11.25" hidden="1" customHeight="1">
      <c r="B69" s="639">
        <v>45373</v>
      </c>
      <c r="C69" s="728" t="s">
        <v>1003</v>
      </c>
      <c r="D69" s="739"/>
      <c r="E69" s="740">
        <v>26</v>
      </c>
      <c r="F69" s="640" t="s">
        <v>146</v>
      </c>
      <c r="G69" s="640" t="s">
        <v>322</v>
      </c>
      <c r="H69" s="642"/>
      <c r="I69" s="758"/>
      <c r="J69" s="643"/>
      <c r="K69" s="667">
        <v>1029</v>
      </c>
      <c r="L69" s="612">
        <f>'통장내역(환율표)'!$D$166</f>
        <v>7.161755722340466</v>
      </c>
      <c r="M69" s="691">
        <f t="shared" si="10"/>
        <v>143.67985168638538</v>
      </c>
      <c r="N69" s="759">
        <f t="shared" si="12"/>
        <v>206855.01999999987</v>
      </c>
      <c r="O69" s="760">
        <f t="shared" si="13"/>
        <v>28885.894135267037</v>
      </c>
      <c r="P69" s="761" t="s">
        <v>1274</v>
      </c>
      <c r="Q69" s="713"/>
      <c r="R69" s="713"/>
      <c r="S69" s="595">
        <f t="shared" si="11"/>
        <v>28885.889273877474</v>
      </c>
    </row>
    <row r="70" spans="2:19" ht="11.25" hidden="1" customHeight="1">
      <c r="B70" s="639">
        <v>45373</v>
      </c>
      <c r="C70" s="728" t="s">
        <v>1005</v>
      </c>
      <c r="D70" s="739"/>
      <c r="E70" s="740">
        <v>27</v>
      </c>
      <c r="F70" s="640" t="s">
        <v>146</v>
      </c>
      <c r="G70" s="640" t="s">
        <v>322</v>
      </c>
      <c r="H70" s="642"/>
      <c r="I70" s="758"/>
      <c r="J70" s="643"/>
      <c r="K70" s="667">
        <v>1974.96</v>
      </c>
      <c r="L70" s="612">
        <f>'통장내역(환율표)'!$D$166</f>
        <v>7.161755722340466</v>
      </c>
      <c r="M70" s="691">
        <f t="shared" si="10"/>
        <v>275.76478123084905</v>
      </c>
      <c r="N70" s="759">
        <f t="shared" si="12"/>
        <v>204880.05999999988</v>
      </c>
      <c r="O70" s="760">
        <f t="shared" si="13"/>
        <v>28610.129354036188</v>
      </c>
      <c r="P70" s="761" t="s">
        <v>1274</v>
      </c>
      <c r="Q70" s="713"/>
      <c r="R70" s="713"/>
      <c r="S70" s="595">
        <f t="shared" si="11"/>
        <v>28610.124492646624</v>
      </c>
    </row>
    <row r="71" spans="2:19" ht="11.25" hidden="1" customHeight="1">
      <c r="B71" s="639">
        <v>45373</v>
      </c>
      <c r="C71" s="728" t="s">
        <v>250</v>
      </c>
      <c r="D71" s="739"/>
      <c r="E71" s="740">
        <v>28</v>
      </c>
      <c r="F71" s="640" t="s">
        <v>107</v>
      </c>
      <c r="G71" s="640"/>
      <c r="H71" s="642"/>
      <c r="I71" s="758"/>
      <c r="J71" s="643"/>
      <c r="K71" s="667">
        <v>3.6</v>
      </c>
      <c r="L71" s="612">
        <f>'통장내역(환율표)'!$D$166</f>
        <v>7.161755722340466</v>
      </c>
      <c r="M71" s="691">
        <f t="shared" ref="M71:M102" si="14">K71/L71</f>
        <v>0.50267003505440955</v>
      </c>
      <c r="N71" s="759">
        <f t="shared" si="12"/>
        <v>204876.45999999988</v>
      </c>
      <c r="O71" s="760">
        <f t="shared" si="13"/>
        <v>28609.626684001134</v>
      </c>
      <c r="P71" s="761" t="s">
        <v>1274</v>
      </c>
      <c r="Q71" s="713"/>
      <c r="R71" s="713"/>
      <c r="S71" s="595">
        <f t="shared" si="11"/>
        <v>28609.621822611571</v>
      </c>
    </row>
    <row r="72" spans="2:19" ht="11.25" hidden="1" customHeight="1">
      <c r="B72" s="639">
        <v>45373</v>
      </c>
      <c r="C72" s="728" t="s">
        <v>1099</v>
      </c>
      <c r="D72" s="739"/>
      <c r="E72" s="740">
        <v>29</v>
      </c>
      <c r="F72" s="640" t="s">
        <v>146</v>
      </c>
      <c r="G72" s="640" t="s">
        <v>322</v>
      </c>
      <c r="H72" s="642"/>
      <c r="I72" s="758"/>
      <c r="J72" s="643"/>
      <c r="K72" s="667">
        <v>1319.85</v>
      </c>
      <c r="L72" s="612">
        <f>'통장내역(환율표)'!$D$166</f>
        <v>7.161755722340466</v>
      </c>
      <c r="M72" s="691">
        <f t="shared" si="14"/>
        <v>184.29140160182288</v>
      </c>
      <c r="N72" s="759">
        <f t="shared" si="12"/>
        <v>203556.60999999987</v>
      </c>
      <c r="O72" s="760">
        <f t="shared" si="13"/>
        <v>28425.335282399312</v>
      </c>
      <c r="P72" s="761" t="s">
        <v>1274</v>
      </c>
      <c r="Q72" s="713"/>
      <c r="R72" s="713"/>
      <c r="S72" s="595">
        <f t="shared" si="11"/>
        <v>28425.330421009749</v>
      </c>
    </row>
    <row r="73" spans="2:19" ht="11.25" hidden="1" customHeight="1">
      <c r="B73" s="639">
        <v>45373</v>
      </c>
      <c r="C73" s="728" t="s">
        <v>1098</v>
      </c>
      <c r="D73" s="739"/>
      <c r="E73" s="740">
        <v>30</v>
      </c>
      <c r="F73" s="640" t="s">
        <v>146</v>
      </c>
      <c r="G73" s="640" t="s">
        <v>322</v>
      </c>
      <c r="H73" s="642"/>
      <c r="I73" s="758"/>
      <c r="J73" s="643"/>
      <c r="K73" s="667">
        <v>7503</v>
      </c>
      <c r="L73" s="612">
        <f>'통장내역(환율표)'!$D$166</f>
        <v>7.161755722340466</v>
      </c>
      <c r="M73" s="691">
        <f t="shared" si="14"/>
        <v>1047.6481313925651</v>
      </c>
      <c r="N73" s="759">
        <f t="shared" si="12"/>
        <v>196053.60999999987</v>
      </c>
      <c r="O73" s="760">
        <f t="shared" si="13"/>
        <v>27377.687151006747</v>
      </c>
      <c r="P73" s="761" t="s">
        <v>1274</v>
      </c>
      <c r="Q73" s="713"/>
      <c r="R73" s="713"/>
      <c r="S73" s="595">
        <f t="shared" si="11"/>
        <v>27377.682289617183</v>
      </c>
    </row>
    <row r="74" spans="2:19" ht="11.25" hidden="1" customHeight="1">
      <c r="B74" s="639">
        <v>45373</v>
      </c>
      <c r="C74" s="728" t="s">
        <v>1124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667">
        <v>29.7</v>
      </c>
      <c r="L74" s="612">
        <f>'통장내역(환율표)'!$D$166</f>
        <v>7.161755722340466</v>
      </c>
      <c r="M74" s="691">
        <f t="shared" si="14"/>
        <v>4.1470277891988783</v>
      </c>
      <c r="N74" s="759">
        <f t="shared" si="12"/>
        <v>196023.90999999986</v>
      </c>
      <c r="O74" s="760">
        <f t="shared" si="13"/>
        <v>27373.540123217546</v>
      </c>
      <c r="P74" s="761" t="s">
        <v>1274</v>
      </c>
      <c r="Q74" s="713"/>
      <c r="R74" s="713"/>
      <c r="S74" s="595">
        <f t="shared" si="11"/>
        <v>27373.535261827983</v>
      </c>
    </row>
    <row r="75" spans="2:19" ht="11.25" hidden="1" customHeight="1">
      <c r="B75" s="639">
        <v>45373</v>
      </c>
      <c r="C75" s="728" t="s">
        <v>1157</v>
      </c>
      <c r="D75" s="739"/>
      <c r="E75" s="740">
        <v>32</v>
      </c>
      <c r="F75" s="640" t="s">
        <v>125</v>
      </c>
      <c r="G75" s="640" t="s">
        <v>145</v>
      </c>
      <c r="H75" s="642"/>
      <c r="I75" s="758"/>
      <c r="J75" s="643"/>
      <c r="K75" s="667">
        <v>149</v>
      </c>
      <c r="L75" s="612">
        <f>'통장내역(환율표)'!$D$166</f>
        <v>7.161755722340466</v>
      </c>
      <c r="M75" s="691">
        <f t="shared" si="14"/>
        <v>20.804954228640838</v>
      </c>
      <c r="N75" s="759">
        <f t="shared" si="12"/>
        <v>195874.90999999986</v>
      </c>
      <c r="O75" s="760">
        <f t="shared" si="13"/>
        <v>27352.735168988904</v>
      </c>
      <c r="P75" s="761" t="s">
        <v>1274</v>
      </c>
      <c r="Q75" s="713"/>
      <c r="R75" s="713"/>
      <c r="S75" s="595">
        <f t="shared" si="11"/>
        <v>27352.73030759934</v>
      </c>
    </row>
    <row r="76" spans="2:19" ht="11.25" hidden="1" customHeight="1">
      <c r="B76" s="639">
        <v>45373</v>
      </c>
      <c r="C76" s="728" t="s">
        <v>250</v>
      </c>
      <c r="D76" s="739"/>
      <c r="E76" s="740">
        <v>33</v>
      </c>
      <c r="F76" s="640" t="s">
        <v>107</v>
      </c>
      <c r="G76" s="640"/>
      <c r="H76" s="642"/>
      <c r="I76" s="758"/>
      <c r="J76" s="643"/>
      <c r="K76" s="667">
        <v>3.6</v>
      </c>
      <c r="L76" s="612">
        <f>'통장내역(환율표)'!$D$166</f>
        <v>7.161755722340466</v>
      </c>
      <c r="M76" s="691">
        <f t="shared" si="14"/>
        <v>0.50267003505440955</v>
      </c>
      <c r="N76" s="759">
        <f t="shared" si="12"/>
        <v>195871.30999999985</v>
      </c>
      <c r="O76" s="760">
        <f t="shared" si="13"/>
        <v>27352.23249895385</v>
      </c>
      <c r="P76" s="761" t="s">
        <v>1274</v>
      </c>
      <c r="Q76" s="713"/>
      <c r="R76" s="713"/>
      <c r="S76" s="595">
        <f t="shared" si="11"/>
        <v>27352.227637564287</v>
      </c>
    </row>
    <row r="77" spans="2:19" ht="11.25" hidden="1" customHeight="1">
      <c r="B77" s="639">
        <v>45373</v>
      </c>
      <c r="C77" s="728" t="s">
        <v>1158</v>
      </c>
      <c r="D77" s="739"/>
      <c r="E77" s="740">
        <v>34</v>
      </c>
      <c r="F77" s="640" t="s">
        <v>125</v>
      </c>
      <c r="G77" s="640" t="s">
        <v>145</v>
      </c>
      <c r="H77" s="642"/>
      <c r="I77" s="758"/>
      <c r="J77" s="643"/>
      <c r="K77" s="667">
        <v>267</v>
      </c>
      <c r="L77" s="612">
        <f>'통장내역(환율표)'!$D$166</f>
        <v>7.161755722340466</v>
      </c>
      <c r="M77" s="691">
        <f t="shared" si="14"/>
        <v>37.281360933202038</v>
      </c>
      <c r="N77" s="759">
        <f t="shared" si="12"/>
        <v>195604.30999999985</v>
      </c>
      <c r="O77" s="760">
        <f t="shared" si="13"/>
        <v>27314.95113802065</v>
      </c>
      <c r="P77" s="761" t="s">
        <v>1274</v>
      </c>
      <c r="Q77" s="713"/>
      <c r="R77" s="713"/>
      <c r="S77" s="595">
        <f t="shared" si="11"/>
        <v>27314.946276631086</v>
      </c>
    </row>
    <row r="78" spans="2:19" ht="11.25" hidden="1" customHeight="1">
      <c r="B78" s="639">
        <v>45373</v>
      </c>
      <c r="C78" s="728" t="s">
        <v>1165</v>
      </c>
      <c r="D78" s="739"/>
      <c r="E78" s="740">
        <v>35</v>
      </c>
      <c r="F78" s="640" t="s">
        <v>146</v>
      </c>
      <c r="G78" s="640" t="s">
        <v>322</v>
      </c>
      <c r="H78" s="642"/>
      <c r="I78" s="758"/>
      <c r="J78" s="643"/>
      <c r="K78" s="667">
        <v>3883</v>
      </c>
      <c r="L78" s="612">
        <f>'통장내역(환율표)'!$D$166</f>
        <v>7.161755722340466</v>
      </c>
      <c r="M78" s="691">
        <f t="shared" si="14"/>
        <v>542.18548503229783</v>
      </c>
      <c r="N78" s="759">
        <f t="shared" si="12"/>
        <v>191721.30999999985</v>
      </c>
      <c r="O78" s="760">
        <f t="shared" si="13"/>
        <v>26772.765652988353</v>
      </c>
      <c r="P78" s="761" t="s">
        <v>1274</v>
      </c>
      <c r="Q78" s="713"/>
      <c r="R78" s="713"/>
      <c r="S78" s="595">
        <f t="shared" si="11"/>
        <v>26772.76079159879</v>
      </c>
    </row>
    <row r="79" spans="2:19" ht="11.25" hidden="1" customHeight="1">
      <c r="B79" s="639">
        <v>45373</v>
      </c>
      <c r="C79" s="728" t="s">
        <v>852</v>
      </c>
      <c r="D79" s="739"/>
      <c r="E79" s="740">
        <v>36</v>
      </c>
      <c r="F79" s="640" t="s">
        <v>107</v>
      </c>
      <c r="G79" s="640"/>
      <c r="H79" s="642"/>
      <c r="I79" s="758"/>
      <c r="J79" s="643"/>
      <c r="K79" s="667">
        <v>223.65</v>
      </c>
      <c r="L79" s="612">
        <f>'통장내역(환율표)'!$D$166</f>
        <v>7.161755722340466</v>
      </c>
      <c r="M79" s="691">
        <f t="shared" si="14"/>
        <v>31.228375927755192</v>
      </c>
      <c r="N79" s="759">
        <f t="shared" si="12"/>
        <v>191497.65999999986</v>
      </c>
      <c r="O79" s="760">
        <f t="shared" si="13"/>
        <v>26741.537277060597</v>
      </c>
      <c r="P79" s="761" t="s">
        <v>1274</v>
      </c>
      <c r="Q79" s="713"/>
      <c r="R79" s="713"/>
      <c r="S79" s="595">
        <f t="shared" si="11"/>
        <v>26741.532415671034</v>
      </c>
    </row>
    <row r="80" spans="2:19" ht="11.25" hidden="1" customHeight="1">
      <c r="B80" s="639">
        <v>45373</v>
      </c>
      <c r="C80" s="728" t="s">
        <v>851</v>
      </c>
      <c r="D80" s="739"/>
      <c r="E80" s="740">
        <v>37</v>
      </c>
      <c r="F80" s="640" t="s">
        <v>116</v>
      </c>
      <c r="G80" s="640" t="s">
        <v>140</v>
      </c>
      <c r="H80" s="642"/>
      <c r="I80" s="758"/>
      <c r="J80" s="643"/>
      <c r="K80" s="667">
        <v>99</v>
      </c>
      <c r="L80" s="612">
        <f>'통장내역(환율표)'!$D$166</f>
        <v>7.161755722340466</v>
      </c>
      <c r="M80" s="691">
        <f t="shared" si="14"/>
        <v>13.823425963996261</v>
      </c>
      <c r="N80" s="759">
        <f t="shared" si="12"/>
        <v>191398.65999999986</v>
      </c>
      <c r="O80" s="760">
        <f t="shared" si="13"/>
        <v>26727.7138510966</v>
      </c>
      <c r="P80" s="761" t="s">
        <v>1274</v>
      </c>
      <c r="Q80" s="713"/>
      <c r="R80" s="713"/>
      <c r="S80" s="595">
        <f t="shared" si="11"/>
        <v>26727.708989707036</v>
      </c>
    </row>
    <row r="81" spans="2:19" ht="11.25" hidden="1" customHeight="1">
      <c r="B81" s="639">
        <v>45373</v>
      </c>
      <c r="C81" s="728" t="s">
        <v>853</v>
      </c>
      <c r="D81" s="739"/>
      <c r="E81" s="740">
        <v>38</v>
      </c>
      <c r="F81" s="640" t="s">
        <v>146</v>
      </c>
      <c r="G81" s="640" t="s">
        <v>322</v>
      </c>
      <c r="H81" s="642"/>
      <c r="I81" s="758"/>
      <c r="J81" s="643"/>
      <c r="K81" s="667">
        <v>1226.78</v>
      </c>
      <c r="L81" s="612">
        <f>'통장내역(환율표)'!$D$166</f>
        <v>7.161755722340466</v>
      </c>
      <c r="M81" s="691">
        <f t="shared" si="14"/>
        <v>171.29598489001347</v>
      </c>
      <c r="N81" s="759">
        <f t="shared" si="12"/>
        <v>190171.87999999986</v>
      </c>
      <c r="O81" s="760">
        <f t="shared" si="13"/>
        <v>26556.417866206586</v>
      </c>
      <c r="P81" s="761" t="s">
        <v>1274</v>
      </c>
      <c r="Q81" s="713"/>
      <c r="R81" s="713"/>
      <c r="S81" s="595">
        <f t="shared" si="11"/>
        <v>26556.413004817023</v>
      </c>
    </row>
    <row r="82" spans="2:19" ht="11.25" hidden="1" customHeight="1">
      <c r="B82" s="639">
        <v>45373</v>
      </c>
      <c r="C82" s="728" t="s">
        <v>1159</v>
      </c>
      <c r="D82" s="739"/>
      <c r="E82" s="740">
        <v>39</v>
      </c>
      <c r="F82" s="640" t="s">
        <v>107</v>
      </c>
      <c r="G82" s="640"/>
      <c r="H82" s="642"/>
      <c r="I82" s="758"/>
      <c r="J82" s="643"/>
      <c r="K82" s="667">
        <v>1214.4000000000001</v>
      </c>
      <c r="L82" s="612">
        <f>'통장내역(환율표)'!$D$166</f>
        <v>7.161755722340466</v>
      </c>
      <c r="M82" s="691">
        <f t="shared" si="14"/>
        <v>169.56735849168749</v>
      </c>
      <c r="N82" s="759">
        <f t="shared" si="12"/>
        <v>188957.47999999986</v>
      </c>
      <c r="O82" s="760">
        <f t="shared" si="13"/>
        <v>26386.850507714898</v>
      </c>
      <c r="P82" s="761" t="s">
        <v>1274</v>
      </c>
      <c r="Q82" s="713"/>
      <c r="R82" s="713"/>
      <c r="S82" s="595">
        <f t="shared" si="11"/>
        <v>26386.845646325335</v>
      </c>
    </row>
    <row r="83" spans="2:19" ht="11.25" hidden="1" customHeight="1">
      <c r="B83" s="639">
        <v>45373</v>
      </c>
      <c r="C83" s="728" t="s">
        <v>250</v>
      </c>
      <c r="D83" s="739"/>
      <c r="E83" s="740">
        <v>40</v>
      </c>
      <c r="F83" s="640" t="s">
        <v>107</v>
      </c>
      <c r="G83" s="640"/>
      <c r="H83" s="642"/>
      <c r="I83" s="758"/>
      <c r="J83" s="643"/>
      <c r="K83" s="667">
        <v>3.6</v>
      </c>
      <c r="L83" s="612">
        <f>'통장내역(환율표)'!$D$166</f>
        <v>7.161755722340466</v>
      </c>
      <c r="M83" s="691">
        <f t="shared" si="14"/>
        <v>0.50267003505440955</v>
      </c>
      <c r="N83" s="759">
        <f t="shared" ref="N83:N107" si="15">N82+H83-K83</f>
        <v>188953.87999999986</v>
      </c>
      <c r="O83" s="760">
        <f t="shared" ref="O83:O107" si="16">O82+J83-M83</f>
        <v>26386.347837679845</v>
      </c>
      <c r="P83" s="761" t="s">
        <v>1274</v>
      </c>
      <c r="Q83" s="713"/>
      <c r="R83" s="713"/>
      <c r="S83" s="595">
        <f t="shared" si="11"/>
        <v>26386.342976290282</v>
      </c>
    </row>
    <row r="84" spans="2:19" ht="11.25" hidden="1" customHeight="1">
      <c r="B84" s="639">
        <v>45373</v>
      </c>
      <c r="C84" s="642" t="s">
        <v>1160</v>
      </c>
      <c r="D84" s="739"/>
      <c r="E84" s="740">
        <v>41</v>
      </c>
      <c r="F84" s="640" t="s">
        <v>125</v>
      </c>
      <c r="G84" s="640" t="s">
        <v>145</v>
      </c>
      <c r="H84" s="642"/>
      <c r="I84" s="758"/>
      <c r="J84" s="643"/>
      <c r="K84" s="667">
        <v>3782.2</v>
      </c>
      <c r="L84" s="612">
        <f>'통장내역(환율표)'!$D$166</f>
        <v>7.161755722340466</v>
      </c>
      <c r="M84" s="691">
        <f t="shared" si="14"/>
        <v>528.11072405077437</v>
      </c>
      <c r="N84" s="759">
        <f t="shared" si="15"/>
        <v>185171.67999999985</v>
      </c>
      <c r="O84" s="760">
        <f t="shared" si="16"/>
        <v>25858.237113629071</v>
      </c>
      <c r="P84" s="761" t="s">
        <v>1274</v>
      </c>
      <c r="Q84" s="713"/>
      <c r="R84" s="713"/>
      <c r="S84" s="595">
        <f t="shared" si="11"/>
        <v>25858.232252239508</v>
      </c>
    </row>
    <row r="85" spans="2:19" ht="11.25" hidden="1" customHeight="1">
      <c r="B85" s="639">
        <v>45373</v>
      </c>
      <c r="C85" s="642" t="s">
        <v>1161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667">
        <v>1538</v>
      </c>
      <c r="L85" s="612">
        <f>'통장내역(환율표)'!$D$166</f>
        <v>7.161755722340466</v>
      </c>
      <c r="M85" s="691">
        <f t="shared" si="14"/>
        <v>214.75180942046717</v>
      </c>
      <c r="N85" s="759">
        <f t="shared" si="15"/>
        <v>183633.67999999985</v>
      </c>
      <c r="O85" s="760">
        <f t="shared" si="16"/>
        <v>25643.485304208603</v>
      </c>
      <c r="P85" s="761" t="s">
        <v>1274</v>
      </c>
      <c r="Q85" s="713"/>
      <c r="R85" s="713"/>
      <c r="S85" s="595">
        <f t="shared" si="11"/>
        <v>25643.48044281904</v>
      </c>
    </row>
    <row r="86" spans="2:19" ht="11.25" hidden="1" customHeight="1">
      <c r="B86" s="639">
        <v>45373</v>
      </c>
      <c r="C86" s="642" t="s">
        <v>1162</v>
      </c>
      <c r="D86" s="739"/>
      <c r="E86" s="740">
        <v>43</v>
      </c>
      <c r="F86" s="640" t="s">
        <v>107</v>
      </c>
      <c r="G86" s="640"/>
      <c r="H86" s="642"/>
      <c r="I86" s="758"/>
      <c r="J86" s="643"/>
      <c r="K86" s="667">
        <v>4635</v>
      </c>
      <c r="L86" s="612">
        <f>'통장내역(환율표)'!$D$166</f>
        <v>7.161755722340466</v>
      </c>
      <c r="M86" s="691">
        <f t="shared" si="14"/>
        <v>647.18767013255228</v>
      </c>
      <c r="N86" s="759">
        <f t="shared" si="15"/>
        <v>178998.67999999985</v>
      </c>
      <c r="O86" s="760">
        <f t="shared" si="16"/>
        <v>24996.297634076051</v>
      </c>
      <c r="P86" s="761" t="s">
        <v>1274</v>
      </c>
      <c r="Q86" s="713"/>
      <c r="R86" s="713" t="s">
        <v>1172</v>
      </c>
      <c r="S86" s="595">
        <f t="shared" si="11"/>
        <v>24996.292772686487</v>
      </c>
    </row>
    <row r="87" spans="2:19" ht="11.25" hidden="1" customHeight="1">
      <c r="B87" s="639">
        <v>45373</v>
      </c>
      <c r="C87" s="642" t="s">
        <v>1173</v>
      </c>
      <c r="D87" s="739"/>
      <c r="E87" s="740">
        <v>44</v>
      </c>
      <c r="F87" s="640" t="s">
        <v>107</v>
      </c>
      <c r="G87" s="640"/>
      <c r="H87" s="642"/>
      <c r="I87" s="758"/>
      <c r="J87" s="643"/>
      <c r="K87" s="667">
        <v>303.10000000000002</v>
      </c>
      <c r="L87" s="612">
        <f>'통장내역(환율표)'!$D$166</f>
        <v>7.161755722340466</v>
      </c>
      <c r="M87" s="691">
        <f t="shared" si="14"/>
        <v>42.322024340275426</v>
      </c>
      <c r="N87" s="759">
        <f t="shared" si="15"/>
        <v>178695.57999999984</v>
      </c>
      <c r="O87" s="760">
        <f t="shared" si="16"/>
        <v>24953.975609735775</v>
      </c>
      <c r="P87" s="761" t="s">
        <v>1274</v>
      </c>
      <c r="Q87" s="713"/>
      <c r="R87" s="713"/>
      <c r="S87" s="595">
        <f t="shared" si="11"/>
        <v>24953.970748346212</v>
      </c>
    </row>
    <row r="88" spans="2:19" ht="11.25" hidden="1" customHeight="1">
      <c r="B88" s="639">
        <v>45373</v>
      </c>
      <c r="C88" s="642" t="s">
        <v>1163</v>
      </c>
      <c r="D88" s="739"/>
      <c r="E88" s="740">
        <v>45</v>
      </c>
      <c r="F88" s="640" t="s">
        <v>146</v>
      </c>
      <c r="G88" s="640" t="s">
        <v>322</v>
      </c>
      <c r="H88" s="642"/>
      <c r="I88" s="758"/>
      <c r="J88" s="643"/>
      <c r="K88" s="772">
        <v>3232.35</v>
      </c>
      <c r="L88" s="612">
        <f>'통장내역(환율표)'!$D$166</f>
        <v>7.161755722340466</v>
      </c>
      <c r="M88" s="691">
        <f t="shared" si="14"/>
        <v>451.33485772447796</v>
      </c>
      <c r="N88" s="759">
        <f t="shared" si="15"/>
        <v>175463.22999999984</v>
      </c>
      <c r="O88" s="760">
        <f t="shared" si="16"/>
        <v>24502.640752011295</v>
      </c>
      <c r="P88" s="761" t="s">
        <v>1274</v>
      </c>
      <c r="Q88" s="713"/>
      <c r="R88" s="713"/>
      <c r="S88" s="595">
        <f t="shared" si="11"/>
        <v>24502.635890621732</v>
      </c>
    </row>
    <row r="89" spans="2:19" ht="11.25" hidden="1" customHeight="1">
      <c r="B89" s="639">
        <v>45373</v>
      </c>
      <c r="C89" s="728" t="s">
        <v>1164</v>
      </c>
      <c r="D89" s="739"/>
      <c r="E89" s="740">
        <v>46</v>
      </c>
      <c r="F89" s="640" t="s">
        <v>146</v>
      </c>
      <c r="G89" s="640" t="s">
        <v>322</v>
      </c>
      <c r="H89" s="642"/>
      <c r="I89" s="758"/>
      <c r="J89" s="643"/>
      <c r="K89" s="772">
        <v>960.3</v>
      </c>
      <c r="L89" s="612">
        <f>'통장내역(환율표)'!$D$166</f>
        <v>7.161755722340466</v>
      </c>
      <c r="M89" s="691">
        <f t="shared" si="14"/>
        <v>134.08723185076374</v>
      </c>
      <c r="N89" s="759">
        <f t="shared" si="15"/>
        <v>174502.92999999985</v>
      </c>
      <c r="O89" s="760">
        <f t="shared" si="16"/>
        <v>24368.553520160531</v>
      </c>
      <c r="P89" s="761" t="s">
        <v>1274</v>
      </c>
      <c r="Q89" s="713"/>
      <c r="R89" s="713" t="s">
        <v>1182</v>
      </c>
      <c r="S89" s="595">
        <f t="shared" si="11"/>
        <v>24368.548658770967</v>
      </c>
    </row>
    <row r="90" spans="2:19" ht="11.25" hidden="1" customHeight="1">
      <c r="B90" s="639">
        <v>45373</v>
      </c>
      <c r="C90" s="728" t="s">
        <v>250</v>
      </c>
      <c r="D90" s="739"/>
      <c r="E90" s="740">
        <v>47</v>
      </c>
      <c r="F90" s="640" t="s">
        <v>107</v>
      </c>
      <c r="G90" s="640"/>
      <c r="H90" s="642"/>
      <c r="I90" s="758"/>
      <c r="J90" s="643"/>
      <c r="K90" s="709">
        <v>7.2</v>
      </c>
      <c r="L90" s="612">
        <f>'통장내역(환율표)'!$D$166</f>
        <v>7.161755722340466</v>
      </c>
      <c r="M90" s="691">
        <f t="shared" si="14"/>
        <v>1.0053400701088191</v>
      </c>
      <c r="N90" s="759">
        <f t="shared" si="15"/>
        <v>174495.72999999984</v>
      </c>
      <c r="O90" s="760">
        <f t="shared" si="16"/>
        <v>24367.548180090424</v>
      </c>
      <c r="P90" s="761" t="s">
        <v>1274</v>
      </c>
      <c r="Q90" s="713"/>
      <c r="R90" s="713"/>
      <c r="S90" s="595">
        <f t="shared" si="11"/>
        <v>24367.54331870086</v>
      </c>
    </row>
    <row r="91" spans="2:19" ht="11.25" hidden="1" customHeight="1">
      <c r="B91" s="639">
        <v>45373</v>
      </c>
      <c r="C91" s="728" t="s">
        <v>1174</v>
      </c>
      <c r="D91" s="739"/>
      <c r="E91" s="740">
        <v>48</v>
      </c>
      <c r="F91" s="640" t="s">
        <v>125</v>
      </c>
      <c r="G91" s="640" t="s">
        <v>145</v>
      </c>
      <c r="H91" s="642"/>
      <c r="I91" s="758"/>
      <c r="J91" s="643"/>
      <c r="K91" s="709">
        <v>1314</v>
      </c>
      <c r="L91" s="612">
        <f>'통장내역(환율표)'!$D$166</f>
        <v>7.161755722340466</v>
      </c>
      <c r="M91" s="691">
        <f t="shared" si="14"/>
        <v>183.47456279485948</v>
      </c>
      <c r="N91" s="759">
        <f t="shared" si="15"/>
        <v>173181.72999999984</v>
      </c>
      <c r="O91" s="760">
        <f t="shared" si="16"/>
        <v>24184.073617295566</v>
      </c>
      <c r="P91" s="761" t="s">
        <v>1274</v>
      </c>
      <c r="Q91" s="713"/>
      <c r="R91" s="713"/>
      <c r="S91" s="595">
        <f t="shared" si="11"/>
        <v>24184.068755906002</v>
      </c>
    </row>
    <row r="92" spans="2:19" ht="11.25" hidden="1" customHeight="1">
      <c r="B92" s="639">
        <v>45373</v>
      </c>
      <c r="C92" s="728" t="s">
        <v>1175</v>
      </c>
      <c r="D92" s="739"/>
      <c r="E92" s="740">
        <v>49</v>
      </c>
      <c r="F92" s="640" t="s">
        <v>116</v>
      </c>
      <c r="G92" s="640" t="s">
        <v>140</v>
      </c>
      <c r="H92" s="642"/>
      <c r="I92" s="758"/>
      <c r="J92" s="643"/>
      <c r="K92" s="709">
        <v>300</v>
      </c>
      <c r="L92" s="612">
        <f>'통장내역(환율표)'!$D$166</f>
        <v>7.161755722340466</v>
      </c>
      <c r="M92" s="691">
        <f t="shared" si="14"/>
        <v>41.889169587867457</v>
      </c>
      <c r="N92" s="759">
        <f t="shared" si="15"/>
        <v>172881.72999999984</v>
      </c>
      <c r="O92" s="760">
        <f t="shared" si="16"/>
        <v>24142.184447707699</v>
      </c>
      <c r="P92" s="761" t="s">
        <v>1274</v>
      </c>
      <c r="Q92" s="713"/>
      <c r="R92" s="713"/>
      <c r="S92" s="595">
        <f t="shared" si="11"/>
        <v>24142.179586318136</v>
      </c>
    </row>
    <row r="93" spans="2:19" ht="11.25" hidden="1" customHeight="1">
      <c r="B93" s="639">
        <v>45373</v>
      </c>
      <c r="C93" s="728" t="s">
        <v>1176</v>
      </c>
      <c r="D93" s="739"/>
      <c r="E93" s="740">
        <v>50</v>
      </c>
      <c r="F93" s="640" t="s">
        <v>107</v>
      </c>
      <c r="G93" s="640"/>
      <c r="H93" s="642"/>
      <c r="I93" s="758"/>
      <c r="J93" s="643"/>
      <c r="K93" s="709">
        <v>5050</v>
      </c>
      <c r="L93" s="612">
        <f>'통장내역(환율표)'!$D$166</f>
        <v>7.161755722340466</v>
      </c>
      <c r="M93" s="691">
        <f t="shared" si="14"/>
        <v>705.13435472910226</v>
      </c>
      <c r="N93" s="759">
        <f t="shared" si="15"/>
        <v>167831.72999999984</v>
      </c>
      <c r="O93" s="760">
        <f t="shared" si="16"/>
        <v>23437.050092978596</v>
      </c>
      <c r="P93" s="761" t="s">
        <v>1274</v>
      </c>
      <c r="Q93" s="713"/>
      <c r="R93" s="713"/>
      <c r="S93" s="595">
        <f t="shared" si="11"/>
        <v>23437.045231589032</v>
      </c>
    </row>
    <row r="94" spans="2:19" ht="11.25" hidden="1" customHeight="1">
      <c r="B94" s="639">
        <v>45373</v>
      </c>
      <c r="C94" s="728" t="s">
        <v>1177</v>
      </c>
      <c r="D94" s="739"/>
      <c r="E94" s="740">
        <v>51</v>
      </c>
      <c r="F94" s="640" t="s">
        <v>146</v>
      </c>
      <c r="G94" s="640" t="s">
        <v>322</v>
      </c>
      <c r="H94" s="642"/>
      <c r="I94" s="758"/>
      <c r="J94" s="643"/>
      <c r="K94" s="709">
        <v>777.09</v>
      </c>
      <c r="L94" s="612">
        <f>'통장내역(환율표)'!$D$166</f>
        <v>7.161755722340466</v>
      </c>
      <c r="M94" s="691">
        <f t="shared" si="14"/>
        <v>108.50551598345308</v>
      </c>
      <c r="N94" s="759">
        <f t="shared" si="15"/>
        <v>167054.63999999984</v>
      </c>
      <c r="O94" s="760">
        <f t="shared" si="16"/>
        <v>23328.544576995144</v>
      </c>
      <c r="P94" s="761" t="s">
        <v>1274</v>
      </c>
      <c r="Q94" s="713"/>
      <c r="R94" s="713" t="s">
        <v>1183</v>
      </c>
      <c r="S94" s="595">
        <f t="shared" si="11"/>
        <v>23328.539715605581</v>
      </c>
    </row>
    <row r="95" spans="2:19" ht="11.25" hidden="1" customHeight="1">
      <c r="B95" s="639">
        <v>45373</v>
      </c>
      <c r="C95" s="728" t="s">
        <v>1178</v>
      </c>
      <c r="D95" s="739"/>
      <c r="E95" s="740">
        <v>52</v>
      </c>
      <c r="F95" s="640" t="s">
        <v>146</v>
      </c>
      <c r="G95" s="640" t="s">
        <v>322</v>
      </c>
      <c r="H95" s="642"/>
      <c r="I95" s="758"/>
      <c r="J95" s="643"/>
      <c r="K95" s="709">
        <v>14335.71</v>
      </c>
      <c r="L95" s="612">
        <f>'통장내역(환율표)'!$D$166</f>
        <v>7.161755722340466</v>
      </c>
      <c r="M95" s="691">
        <f t="shared" si="14"/>
        <v>2001.7032911749579</v>
      </c>
      <c r="N95" s="759">
        <f t="shared" si="15"/>
        <v>152718.92999999985</v>
      </c>
      <c r="O95" s="760">
        <f t="shared" si="16"/>
        <v>21326.841285820185</v>
      </c>
      <c r="P95" s="761" t="s">
        <v>1274</v>
      </c>
      <c r="Q95" s="713"/>
      <c r="R95" s="713"/>
      <c r="S95" s="595">
        <f t="shared" si="11"/>
        <v>21326.836424430621</v>
      </c>
    </row>
    <row r="96" spans="2:19" ht="11.25" hidden="1" customHeight="1">
      <c r="B96" s="639">
        <v>45373</v>
      </c>
      <c r="C96" s="728" t="s">
        <v>250</v>
      </c>
      <c r="D96" s="739"/>
      <c r="E96" s="740">
        <v>53</v>
      </c>
      <c r="F96" s="640" t="s">
        <v>107</v>
      </c>
      <c r="G96" s="640"/>
      <c r="H96" s="642"/>
      <c r="I96" s="758"/>
      <c r="J96" s="643"/>
      <c r="K96" s="709">
        <v>7.2</v>
      </c>
      <c r="L96" s="612">
        <f>'통장내역(환율표)'!$D$166</f>
        <v>7.161755722340466</v>
      </c>
      <c r="M96" s="691">
        <f t="shared" si="14"/>
        <v>1.0053400701088191</v>
      </c>
      <c r="N96" s="759">
        <f t="shared" si="15"/>
        <v>152711.72999999984</v>
      </c>
      <c r="O96" s="760">
        <f t="shared" si="16"/>
        <v>21325.835945750077</v>
      </c>
      <c r="P96" s="761" t="s">
        <v>1274</v>
      </c>
      <c r="Q96" s="713"/>
      <c r="R96" s="713"/>
      <c r="S96" s="595">
        <f t="shared" si="11"/>
        <v>21325.831084360514</v>
      </c>
    </row>
    <row r="97" spans="1:24" ht="11.25" hidden="1" customHeight="1">
      <c r="B97" s="639">
        <v>45376</v>
      </c>
      <c r="C97" s="728" t="s">
        <v>1166</v>
      </c>
      <c r="D97" s="739"/>
      <c r="E97" s="740">
        <v>54</v>
      </c>
      <c r="F97" s="640" t="s">
        <v>107</v>
      </c>
      <c r="G97" s="640"/>
      <c r="H97" s="642"/>
      <c r="I97" s="758"/>
      <c r="J97" s="643"/>
      <c r="K97" s="709">
        <v>211.1</v>
      </c>
      <c r="L97" s="612">
        <f>'통장내역(환율표)'!$D$166</f>
        <v>7.161755722340466</v>
      </c>
      <c r="M97" s="691">
        <f t="shared" si="14"/>
        <v>29.4760123333294</v>
      </c>
      <c r="N97" s="759">
        <f t="shared" si="15"/>
        <v>152500.62999999983</v>
      </c>
      <c r="O97" s="760">
        <f t="shared" si="16"/>
        <v>21296.359933416748</v>
      </c>
      <c r="P97" s="761" t="s">
        <v>1274</v>
      </c>
      <c r="Q97" s="713"/>
      <c r="R97" s="713"/>
      <c r="S97" s="595">
        <f t="shared" si="11"/>
        <v>21296.355072027185</v>
      </c>
    </row>
    <row r="98" spans="1:24" ht="11.25" hidden="1" customHeight="1">
      <c r="B98" s="639">
        <v>45376</v>
      </c>
      <c r="C98" s="728" t="s">
        <v>250</v>
      </c>
      <c r="D98" s="739"/>
      <c r="E98" s="740">
        <v>55</v>
      </c>
      <c r="F98" s="640" t="s">
        <v>107</v>
      </c>
      <c r="G98" s="640"/>
      <c r="H98" s="642"/>
      <c r="I98" s="758"/>
      <c r="J98" s="643"/>
      <c r="K98" s="709">
        <v>3.6</v>
      </c>
      <c r="L98" s="612">
        <f>'통장내역(환율표)'!$D$166</f>
        <v>7.161755722340466</v>
      </c>
      <c r="M98" s="691">
        <f t="shared" si="14"/>
        <v>0.50267003505440955</v>
      </c>
      <c r="N98" s="759">
        <f t="shared" si="15"/>
        <v>152497.02999999982</v>
      </c>
      <c r="O98" s="760">
        <f t="shared" si="16"/>
        <v>21295.857263381695</v>
      </c>
      <c r="P98" s="761" t="s">
        <v>1274</v>
      </c>
      <c r="Q98" s="713"/>
      <c r="R98" s="713"/>
      <c r="S98" s="595">
        <f t="shared" si="11"/>
        <v>21295.852401992131</v>
      </c>
    </row>
    <row r="99" spans="1:24" ht="11.25" hidden="1" customHeight="1">
      <c r="B99" s="639">
        <v>45376</v>
      </c>
      <c r="C99" s="728" t="s">
        <v>1107</v>
      </c>
      <c r="D99" s="739"/>
      <c r="E99" s="740">
        <v>56</v>
      </c>
      <c r="F99" s="640" t="s">
        <v>146</v>
      </c>
      <c r="G99" s="640" t="s">
        <v>322</v>
      </c>
      <c r="H99" s="642"/>
      <c r="I99" s="758"/>
      <c r="J99" s="643"/>
      <c r="K99" s="709">
        <v>8489.65</v>
      </c>
      <c r="L99" s="612">
        <f>'통장내역(환율표)'!$D$166</f>
        <v>7.161755722340466</v>
      </c>
      <c r="M99" s="691">
        <f t="shared" si="14"/>
        <v>1185.4146286387966</v>
      </c>
      <c r="N99" s="759">
        <f t="shared" si="15"/>
        <v>144007.37999999983</v>
      </c>
      <c r="O99" s="760">
        <f t="shared" si="16"/>
        <v>20110.4426347429</v>
      </c>
      <c r="P99" s="761" t="s">
        <v>1274</v>
      </c>
      <c r="Q99" s="713"/>
      <c r="R99" s="713"/>
      <c r="S99" s="595">
        <f t="shared" si="11"/>
        <v>20110.437773353337</v>
      </c>
    </row>
    <row r="100" spans="1:24" ht="11.25" hidden="1" customHeight="1">
      <c r="B100" s="639">
        <v>45376</v>
      </c>
      <c r="C100" s="728" t="s">
        <v>844</v>
      </c>
      <c r="D100" s="739"/>
      <c r="E100" s="740">
        <v>57</v>
      </c>
      <c r="F100" s="640" t="s">
        <v>146</v>
      </c>
      <c r="G100" s="640" t="s">
        <v>322</v>
      </c>
      <c r="H100" s="642"/>
      <c r="I100" s="758"/>
      <c r="J100" s="643"/>
      <c r="K100" s="709">
        <v>272.89</v>
      </c>
      <c r="L100" s="612">
        <f>'통장내역(환율표)'!$D$166</f>
        <v>7.161755722340466</v>
      </c>
      <c r="M100" s="691">
        <f t="shared" si="14"/>
        <v>38.103784962777169</v>
      </c>
      <c r="N100" s="759">
        <f t="shared" si="15"/>
        <v>143734.48999999982</v>
      </c>
      <c r="O100" s="760">
        <f t="shared" si="16"/>
        <v>20072.338849780124</v>
      </c>
      <c r="P100" s="761" t="s">
        <v>1274</v>
      </c>
      <c r="Q100" s="713"/>
      <c r="R100" s="713"/>
      <c r="S100" s="595">
        <f t="shared" si="11"/>
        <v>20072.333988390561</v>
      </c>
    </row>
    <row r="101" spans="1:24" ht="11.25" hidden="1" customHeight="1">
      <c r="B101" s="639">
        <v>45376</v>
      </c>
      <c r="C101" s="728" t="s">
        <v>854</v>
      </c>
      <c r="D101" s="739"/>
      <c r="E101" s="740">
        <v>58</v>
      </c>
      <c r="F101" s="640" t="s">
        <v>116</v>
      </c>
      <c r="G101" s="640" t="s">
        <v>140</v>
      </c>
      <c r="H101" s="642"/>
      <c r="I101" s="758"/>
      <c r="J101" s="643"/>
      <c r="K101" s="772">
        <v>499</v>
      </c>
      <c r="L101" s="612">
        <f>'통장내역(환율표)'!$D$166</f>
        <v>7.161755722340466</v>
      </c>
      <c r="M101" s="691">
        <f t="shared" si="14"/>
        <v>69.675652081152876</v>
      </c>
      <c r="N101" s="759">
        <f t="shared" si="15"/>
        <v>143235.48999999982</v>
      </c>
      <c r="O101" s="760">
        <f t="shared" si="16"/>
        <v>20002.66319769897</v>
      </c>
      <c r="P101" s="761" t="s">
        <v>1274</v>
      </c>
      <c r="Q101" s="713"/>
      <c r="R101" s="713"/>
      <c r="S101" s="595">
        <f t="shared" si="11"/>
        <v>20002.658336309407</v>
      </c>
    </row>
    <row r="102" spans="1:24" ht="11.25" hidden="1" customHeight="1">
      <c r="B102" s="639">
        <v>45376</v>
      </c>
      <c r="C102" s="728" t="s">
        <v>1109</v>
      </c>
      <c r="D102" s="739"/>
      <c r="E102" s="740">
        <v>59</v>
      </c>
      <c r="F102" s="640" t="s">
        <v>116</v>
      </c>
      <c r="G102" s="640" t="s">
        <v>140</v>
      </c>
      <c r="H102" s="642"/>
      <c r="I102" s="758"/>
      <c r="J102" s="643"/>
      <c r="K102" s="709">
        <v>397.01</v>
      </c>
      <c r="L102" s="612">
        <f>'통장내역(환율표)'!$D$166</f>
        <v>7.161755722340466</v>
      </c>
      <c r="M102" s="691">
        <f t="shared" si="14"/>
        <v>55.434730726930866</v>
      </c>
      <c r="N102" s="759">
        <f t="shared" si="15"/>
        <v>142838.47999999981</v>
      </c>
      <c r="O102" s="760">
        <f t="shared" si="16"/>
        <v>19947.228466972039</v>
      </c>
      <c r="P102" s="761" t="s">
        <v>1274</v>
      </c>
      <c r="Q102" s="713"/>
      <c r="R102" s="713"/>
      <c r="S102" s="595">
        <f t="shared" si="11"/>
        <v>19947.223605582476</v>
      </c>
    </row>
    <row r="103" spans="1:24" ht="11.25" hidden="1" customHeight="1">
      <c r="B103" s="639">
        <v>45376</v>
      </c>
      <c r="C103" s="728" t="s">
        <v>857</v>
      </c>
      <c r="D103" s="739"/>
      <c r="E103" s="740">
        <v>60</v>
      </c>
      <c r="F103" s="640" t="s">
        <v>107</v>
      </c>
      <c r="G103" s="640"/>
      <c r="H103" s="642"/>
      <c r="I103" s="758"/>
      <c r="J103" s="643"/>
      <c r="K103" s="709">
        <v>433.8</v>
      </c>
      <c r="L103" s="612">
        <f>'통장내역(환율표)'!$D$166</f>
        <v>7.161755722340466</v>
      </c>
      <c r="M103" s="691">
        <f>K103/L103</f>
        <v>60.571739224056351</v>
      </c>
      <c r="N103" s="759">
        <f t="shared" si="15"/>
        <v>142404.67999999982</v>
      </c>
      <c r="O103" s="760">
        <f t="shared" si="16"/>
        <v>19886.656727747984</v>
      </c>
      <c r="P103" s="761" t="s">
        <v>1274</v>
      </c>
      <c r="Q103" s="713"/>
      <c r="R103" s="713"/>
      <c r="S103" s="595">
        <f t="shared" si="11"/>
        <v>19886.651866358421</v>
      </c>
    </row>
    <row r="104" spans="1:24" ht="11.25" hidden="1" customHeight="1">
      <c r="B104" s="639">
        <v>45376</v>
      </c>
      <c r="C104" s="728" t="s">
        <v>1108</v>
      </c>
      <c r="D104" s="739"/>
      <c r="E104" s="740">
        <v>61</v>
      </c>
      <c r="F104" s="640" t="s">
        <v>107</v>
      </c>
      <c r="G104" s="640"/>
      <c r="H104" s="642"/>
      <c r="I104" s="758"/>
      <c r="J104" s="643"/>
      <c r="K104" s="709">
        <v>243.6</v>
      </c>
      <c r="L104" s="612">
        <f>'통장내역(환율표)'!$D$166</f>
        <v>7.161755722340466</v>
      </c>
      <c r="M104" s="691">
        <f>K104/L104</f>
        <v>34.014005705348374</v>
      </c>
      <c r="N104" s="759">
        <f t="shared" si="15"/>
        <v>142161.07999999981</v>
      </c>
      <c r="O104" s="760">
        <f t="shared" si="16"/>
        <v>19852.642722042638</v>
      </c>
      <c r="P104" s="761" t="s">
        <v>1274</v>
      </c>
      <c r="Q104" s="713"/>
      <c r="R104" s="713"/>
      <c r="S104" s="595">
        <f t="shared" si="11"/>
        <v>19852.637860653074</v>
      </c>
    </row>
    <row r="105" spans="1:24" ht="11.25" hidden="1" customHeight="1">
      <c r="B105" s="639">
        <v>45376</v>
      </c>
      <c r="C105" s="728" t="s">
        <v>845</v>
      </c>
      <c r="D105" s="739"/>
      <c r="E105" s="740">
        <v>62</v>
      </c>
      <c r="F105" s="640" t="s">
        <v>125</v>
      </c>
      <c r="G105" s="640" t="s">
        <v>145</v>
      </c>
      <c r="H105" s="642"/>
      <c r="I105" s="758"/>
      <c r="J105" s="643"/>
      <c r="K105" s="709">
        <v>6593</v>
      </c>
      <c r="L105" s="612">
        <f>'통장내역(환율표)'!$D$166</f>
        <v>7.161755722340466</v>
      </c>
      <c r="M105" s="691">
        <v>920.58</v>
      </c>
      <c r="N105" s="759">
        <f t="shared" si="15"/>
        <v>135568.07999999981</v>
      </c>
      <c r="O105" s="760">
        <f t="shared" si="16"/>
        <v>18932.062722042636</v>
      </c>
      <c r="P105" s="761" t="s">
        <v>1274</v>
      </c>
      <c r="Q105" s="713"/>
      <c r="R105" s="713"/>
      <c r="S105" s="595">
        <f>S104-M105</f>
        <v>18932.057860653073</v>
      </c>
    </row>
    <row r="106" spans="1:24" ht="11.25" hidden="1" customHeight="1">
      <c r="B106" s="639">
        <v>45376</v>
      </c>
      <c r="C106" s="728" t="s">
        <v>250</v>
      </c>
      <c r="D106" s="739"/>
      <c r="E106" s="740">
        <v>63</v>
      </c>
      <c r="F106" s="640" t="s">
        <v>107</v>
      </c>
      <c r="G106" s="640"/>
      <c r="H106" s="642"/>
      <c r="I106" s="758"/>
      <c r="J106" s="643"/>
      <c r="K106" s="709">
        <v>7.2</v>
      </c>
      <c r="L106" s="612">
        <f>'통장내역(환율표)'!$D$166</f>
        <v>7.161755722340466</v>
      </c>
      <c r="M106" s="691">
        <f>K106/L106</f>
        <v>1.0053400701088191</v>
      </c>
      <c r="N106" s="759">
        <f t="shared" si="15"/>
        <v>135560.8799999998</v>
      </c>
      <c r="O106" s="760">
        <f t="shared" si="16"/>
        <v>18931.057381972529</v>
      </c>
      <c r="P106" s="761" t="s">
        <v>1274</v>
      </c>
      <c r="Q106" s="713"/>
      <c r="R106" s="713"/>
      <c r="S106" s="595">
        <f>S105-M106</f>
        <v>18931.052520582965</v>
      </c>
    </row>
    <row r="107" spans="1:24" ht="11.25" hidden="1" customHeight="1">
      <c r="B107" s="639">
        <v>45378</v>
      </c>
      <c r="C107" s="728" t="s">
        <v>250</v>
      </c>
      <c r="D107" s="739"/>
      <c r="E107" s="740">
        <v>64</v>
      </c>
      <c r="F107" s="640" t="s">
        <v>107</v>
      </c>
      <c r="G107" s="640"/>
      <c r="H107" s="642"/>
      <c r="I107" s="758"/>
      <c r="J107" s="643"/>
      <c r="K107" s="709">
        <v>3.6</v>
      </c>
      <c r="L107" s="612">
        <f>'통장내역(환율표)'!$D$166</f>
        <v>7.161755722340466</v>
      </c>
      <c r="M107" s="691">
        <f>K107/L107</f>
        <v>0.50267003505440955</v>
      </c>
      <c r="N107" s="759">
        <f t="shared" si="15"/>
        <v>135557.2799999998</v>
      </c>
      <c r="O107" s="817">
        <f t="shared" si="16"/>
        <v>18930.554711937475</v>
      </c>
      <c r="P107" s="761" t="s">
        <v>1274</v>
      </c>
      <c r="Q107" s="713"/>
      <c r="R107" s="713" t="s">
        <v>1184</v>
      </c>
      <c r="S107" s="818">
        <f>S106-M107</f>
        <v>18930.549850547912</v>
      </c>
    </row>
    <row r="108" spans="1:24" s="645" customFormat="1" ht="11.25" hidden="1" customHeight="1" thickBot="1">
      <c r="A108" s="614"/>
      <c r="B108" s="742"/>
      <c r="C108" s="743"/>
      <c r="D108" s="744"/>
      <c r="E108" s="743"/>
      <c r="F108" s="745"/>
      <c r="G108" s="746"/>
      <c r="H108" s="747"/>
      <c r="I108" s="748"/>
      <c r="J108" s="749"/>
      <c r="K108" s="750"/>
      <c r="L108" s="736"/>
      <c r="M108" s="752"/>
      <c r="N108" s="756"/>
      <c r="O108" s="757"/>
      <c r="P108" s="753"/>
      <c r="Q108" s="732"/>
      <c r="R108" s="737"/>
      <c r="S108" s="595"/>
      <c r="T108" s="531"/>
      <c r="V108" s="531"/>
      <c r="W108" s="531"/>
      <c r="X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890"/>
      <c r="I111" s="569"/>
      <c r="J111" s="891" t="s">
        <v>1281</v>
      </c>
      <c r="K111" s="569" t="s">
        <v>1282</v>
      </c>
    </row>
    <row r="112" spans="1:24" ht="11.25" customHeight="1">
      <c r="C112" s="589"/>
      <c r="D112" s="589"/>
      <c r="E112" s="589"/>
      <c r="F112" s="589"/>
      <c r="G112" s="589"/>
      <c r="H112" s="892" t="s">
        <v>1283</v>
      </c>
      <c r="I112" s="893">
        <f>'통장내역(환율표)'!$D$166</f>
        <v>7.161755722340466</v>
      </c>
      <c r="J112" s="894">
        <v>248022.02000000002</v>
      </c>
      <c r="K112" s="895">
        <f>J112/I112</f>
        <v>34631.454857684854</v>
      </c>
      <c r="L112" s="531">
        <f>K112-K113</f>
        <v>16.16419049778051</v>
      </c>
    </row>
    <row r="113" spans="3:11" ht="11.25" customHeight="1">
      <c r="C113" s="589"/>
      <c r="D113" s="589"/>
      <c r="E113" s="589"/>
      <c r="F113" s="589"/>
      <c r="G113" s="589"/>
      <c r="H113" s="890" t="s">
        <v>1280</v>
      </c>
      <c r="I113" s="896">
        <v>7.1651000242822729</v>
      </c>
      <c r="J113" s="897">
        <v>248022.02000000002</v>
      </c>
      <c r="K113" s="898">
        <f>J113/I113</f>
        <v>34615.290667187073</v>
      </c>
    </row>
    <row r="114" spans="3:11" ht="11.25" customHeight="1">
      <c r="C114" s="589"/>
      <c r="D114" s="589"/>
      <c r="E114" s="589"/>
      <c r="F114" s="589"/>
      <c r="G114" s="589"/>
      <c r="H114" s="589"/>
    </row>
    <row r="115" spans="3:11" ht="11.25" customHeight="1">
      <c r="C115" s="589"/>
      <c r="D115" s="589"/>
      <c r="E115" s="589"/>
      <c r="F115" s="589"/>
      <c r="G115" s="589"/>
      <c r="H115" s="589"/>
    </row>
    <row r="116" spans="3:11" ht="11.25" customHeight="1">
      <c r="C116" s="589"/>
      <c r="D116" s="589"/>
      <c r="E116" s="589"/>
      <c r="F116" s="589"/>
      <c r="G116" s="589"/>
      <c r="H116" s="589"/>
    </row>
    <row r="117" spans="3:11" ht="11.25" customHeight="1">
      <c r="C117" s="589"/>
      <c r="D117" s="589"/>
      <c r="E117" s="589"/>
      <c r="F117" s="589"/>
      <c r="G117" s="589"/>
      <c r="H117" s="589"/>
    </row>
    <row r="118" spans="3:11" ht="11.25" customHeight="1">
      <c r="C118" s="589"/>
      <c r="D118" s="589"/>
      <c r="E118" s="589"/>
      <c r="F118" s="589"/>
      <c r="G118" s="589"/>
      <c r="H118" s="589"/>
    </row>
    <row r="119" spans="3:11" ht="11.25" customHeight="1">
      <c r="C119" s="589"/>
      <c r="D119" s="589"/>
      <c r="E119" s="589"/>
      <c r="F119" s="589"/>
      <c r="G119" s="589"/>
      <c r="H119" s="589"/>
    </row>
    <row r="120" spans="3:11" ht="11.25" customHeight="1">
      <c r="C120" s="589"/>
      <c r="D120" s="589"/>
      <c r="E120" s="589"/>
      <c r="F120" s="589"/>
      <c r="G120" s="589"/>
      <c r="H120" s="589"/>
    </row>
    <row r="121" spans="3:11" ht="11.25" customHeight="1">
      <c r="C121" s="589"/>
      <c r="D121" s="589"/>
      <c r="E121" s="589"/>
      <c r="F121" s="589"/>
      <c r="G121" s="589"/>
      <c r="H121" s="589"/>
    </row>
    <row r="122" spans="3:11" ht="11.25" customHeight="1">
      <c r="C122" s="589"/>
      <c r="D122" s="589"/>
      <c r="E122" s="589"/>
      <c r="F122" s="589"/>
      <c r="G122" s="589"/>
      <c r="H122" s="589"/>
    </row>
    <row r="123" spans="3:11" ht="11.25" customHeight="1">
      <c r="C123" s="589"/>
      <c r="D123" s="589"/>
      <c r="E123" s="589"/>
      <c r="F123" s="589"/>
      <c r="G123" s="589"/>
      <c r="H123" s="589"/>
    </row>
  </sheetData>
  <autoFilter ref="B17:R108" xr:uid="{00000000-0009-0000-0000-000001000000}">
    <filterColumn colId="4">
      <colorFilter dxfId="16"/>
    </filterColumn>
    <filterColumn colId="14" showButton="0"/>
    <sortState xmlns:xlrd2="http://schemas.microsoft.com/office/spreadsheetml/2017/richdata2" ref="B21:R29">
      <sortCondition sortBy="cellColor" ref="M17:M108" dxfId="17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ADD2-D6A4-4866-B605-DE53B46FA8DA}">
  <sheetPr>
    <tabColor theme="4" tint="-0.499984740745262"/>
  </sheetPr>
  <dimension ref="A1:AC121"/>
  <sheetViews>
    <sheetView showGridLines="0" zoomScaleNormal="100" workbookViewId="0">
      <pane ySplit="18" topLeftCell="A94" activePane="bottomLeft" state="frozen"/>
      <selection pane="bottomLeft" activeCell="S104" sqref="S104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1271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1151</v>
      </c>
      <c r="C3" s="547"/>
      <c r="D3" s="547"/>
      <c r="E3" s="547"/>
      <c r="F3" s="790">
        <v>1323.1</v>
      </c>
      <c r="G3" s="550"/>
      <c r="H3" s="546" t="s">
        <v>1272</v>
      </c>
      <c r="I3" s="547"/>
      <c r="K3" s="548"/>
      <c r="L3" s="790">
        <v>1354.4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64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14643.63</v>
      </c>
      <c r="K5" s="766">
        <v>2027.16</v>
      </c>
      <c r="L5" s="723">
        <f t="shared" ref="L5:L10" si="1">ROUND(K5*$L$3,0)</f>
        <v>2745586</v>
      </c>
      <c r="M5" s="922">
        <f>L5+F5</f>
        <v>2745586</v>
      </c>
      <c r="N5" s="531">
        <v>63837</v>
      </c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1603.6</v>
      </c>
      <c r="E6" s="570">
        <v>223.81</v>
      </c>
      <c r="F6" s="567">
        <f t="shared" si="0"/>
        <v>296123</v>
      </c>
      <c r="G6" s="572"/>
      <c r="H6" s="569" t="s">
        <v>13</v>
      </c>
      <c r="I6" s="569" t="s">
        <v>14</v>
      </c>
      <c r="J6" s="766">
        <v>51369.17</v>
      </c>
      <c r="K6" s="766">
        <v>7111.2</v>
      </c>
      <c r="L6" s="723">
        <f t="shared" si="1"/>
        <v>9631409</v>
      </c>
      <c r="M6" s="922">
        <f t="shared" ref="M6:M13" si="2">L6+F6</f>
        <v>9927532</v>
      </c>
      <c r="N6" s="645">
        <f>N5-K13</f>
        <v>20518.760000000002</v>
      </c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24297</v>
      </c>
      <c r="E7" s="566">
        <v>3391.02</v>
      </c>
      <c r="F7" s="567">
        <f t="shared" si="0"/>
        <v>4486659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22">
        <f t="shared" si="2"/>
        <v>4486659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2422.58</v>
      </c>
      <c r="L8" s="723">
        <f t="shared" si="1"/>
        <v>3281142</v>
      </c>
      <c r="M8" s="922">
        <f t="shared" si="2"/>
        <v>3281142</v>
      </c>
      <c r="O8" s="590"/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2688.17</v>
      </c>
      <c r="K9" s="766">
        <v>372.13</v>
      </c>
      <c r="L9" s="723">
        <f t="shared" si="1"/>
        <v>504013</v>
      </c>
      <c r="M9" s="922">
        <f t="shared" si="2"/>
        <v>504013</v>
      </c>
      <c r="O9" s="590"/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109656.67999999979</v>
      </c>
      <c r="E10" s="570">
        <v>15315.72</v>
      </c>
      <c r="F10" s="567">
        <f t="shared" si="0"/>
        <v>20264229</v>
      </c>
      <c r="G10" s="575"/>
      <c r="H10" s="569" t="s">
        <v>21</v>
      </c>
      <c r="I10" s="569"/>
      <c r="J10" s="766">
        <v>226348.63000000027</v>
      </c>
      <c r="K10" s="766">
        <v>31385.17</v>
      </c>
      <c r="L10" s="723">
        <f t="shared" si="1"/>
        <v>42508074</v>
      </c>
      <c r="M10" s="922">
        <f t="shared" si="2"/>
        <v>62772303</v>
      </c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1323.1000155832769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M11" s="922">
        <f t="shared" si="2"/>
        <v>0</v>
      </c>
      <c r="N11" s="854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18930.55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22">
        <f t="shared" si="2"/>
        <v>0</v>
      </c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135557.2799999998</v>
      </c>
      <c r="E13" s="586">
        <f>SUM(E5:E11)-E12</f>
        <v>18930.55</v>
      </c>
      <c r="F13" s="587">
        <f>SUM(F5:F11)-F12</f>
        <v>25047011</v>
      </c>
      <c r="G13" s="588">
        <f>F13+R13+AC13</f>
        <v>25047011</v>
      </c>
      <c r="H13" s="583" t="s">
        <v>22</v>
      </c>
      <c r="I13" s="584"/>
      <c r="J13" s="585">
        <f>SUM(J5:J11)-J12</f>
        <v>312549.60000000027</v>
      </c>
      <c r="K13" s="586">
        <f>SUM(K5:K11)-K12</f>
        <v>43318.239999999998</v>
      </c>
      <c r="L13" s="587">
        <f>SUM(L5:L11)-L12</f>
        <v>58670224</v>
      </c>
      <c r="M13" s="922">
        <f t="shared" si="2"/>
        <v>83717235</v>
      </c>
      <c r="N13" s="855"/>
      <c r="O13" s="856"/>
      <c r="P13" s="853"/>
      <c r="Q13" s="853"/>
      <c r="R13" s="853"/>
      <c r="X13" s="789">
        <f>F13+R13</f>
        <v>25047011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>
        <f>SUM(D7:D10)</f>
        <v>133953.67999999979</v>
      </c>
      <c r="E14" s="815">
        <f>SUM(E7:E10)</f>
        <v>18706.739999999998</v>
      </c>
      <c r="F14" s="816">
        <f>SUM(F7:F10)</f>
        <v>24750888</v>
      </c>
      <c r="G14" s="594"/>
      <c r="O14" s="595"/>
      <c r="P14" s="720">
        <f>P13+D13+J13</f>
        <v>448106.88000000006</v>
      </c>
      <c r="Q14" s="720">
        <f>Q13+E13+K13</f>
        <v>62248.789999999994</v>
      </c>
      <c r="R14" s="721">
        <f>R13+F13+L13</f>
        <v>83717235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SUBTOTAL(9,K18:K135)</f>
        <v>448106.88000000006</v>
      </c>
      <c r="L15" s="137"/>
      <c r="M15" s="724">
        <f>SUBTOTAL(9,M18:M135)</f>
        <v>62248.786148473264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5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29"/>
      <c r="R17" s="556" t="s">
        <v>1071</v>
      </c>
    </row>
    <row r="18" spans="1:19" ht="11.25" customHeight="1">
      <c r="B18" s="729">
        <v>45378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135557.2799999998</v>
      </c>
      <c r="O18" s="859">
        <v>18930.55</v>
      </c>
      <c r="P18" s="753"/>
      <c r="Q18" s="876"/>
      <c r="R18" s="883"/>
      <c r="S18" s="717">
        <v>18930.55</v>
      </c>
    </row>
    <row r="19" spans="1:19" ht="11.25" customHeight="1">
      <c r="B19" s="860">
        <v>45378</v>
      </c>
      <c r="C19" s="861" t="s">
        <v>1270</v>
      </c>
      <c r="D19" s="861"/>
      <c r="E19" s="862">
        <v>1</v>
      </c>
      <c r="F19" s="863" t="s">
        <v>146</v>
      </c>
      <c r="G19" s="863" t="s">
        <v>147</v>
      </c>
      <c r="H19" s="864"/>
      <c r="I19" s="865"/>
      <c r="J19" s="866"/>
      <c r="K19" s="867">
        <v>1603.6</v>
      </c>
      <c r="L19" s="868">
        <f>'통장내역(환율표)'!$D$167</f>
        <v>7.1651000242822729</v>
      </c>
      <c r="M19" s="800">
        <f>K19/L19</f>
        <v>223.80706404173782</v>
      </c>
      <c r="N19" s="869">
        <f>N18+H19-K19</f>
        <v>133953.67999999979</v>
      </c>
      <c r="O19" s="870">
        <f>O18+J19-M19</f>
        <v>18706.74293595826</v>
      </c>
      <c r="P19" s="871" t="s">
        <v>1274</v>
      </c>
      <c r="Q19" s="877"/>
      <c r="R19" s="884" t="s">
        <v>1278</v>
      </c>
      <c r="S19" s="595">
        <f>S18-M19</f>
        <v>18706.74293595826</v>
      </c>
    </row>
    <row r="20" spans="1:19" ht="11.25" customHeight="1">
      <c r="B20" s="821">
        <v>45394</v>
      </c>
      <c r="C20" s="822" t="s">
        <v>834</v>
      </c>
      <c r="D20" s="822"/>
      <c r="E20" s="823">
        <v>2</v>
      </c>
      <c r="F20" s="824"/>
      <c r="G20" s="824"/>
      <c r="H20" s="825">
        <v>460770.93</v>
      </c>
      <c r="I20" s="826"/>
      <c r="J20" s="825">
        <v>63837</v>
      </c>
      <c r="K20" s="827"/>
      <c r="L20" s="828"/>
      <c r="M20" s="765"/>
      <c r="N20" s="829">
        <f t="shared" ref="N20:N31" si="3">N19+H20-K20</f>
        <v>594724.60999999975</v>
      </c>
      <c r="O20" s="830">
        <f t="shared" ref="O20:O31" si="4">O19+J20-M20</f>
        <v>82543.74293595826</v>
      </c>
      <c r="P20" s="831"/>
      <c r="Q20" s="878"/>
      <c r="R20" s="885"/>
      <c r="S20" s="595"/>
    </row>
    <row r="21" spans="1:19" ht="11.25" customHeight="1">
      <c r="B21" s="821">
        <v>45394</v>
      </c>
      <c r="C21" s="822" t="s">
        <v>250</v>
      </c>
      <c r="D21" s="822"/>
      <c r="E21" s="823">
        <v>2</v>
      </c>
      <c r="F21" s="824" t="s">
        <v>21</v>
      </c>
      <c r="G21" s="824"/>
      <c r="H21" s="825"/>
      <c r="I21" s="826"/>
      <c r="J21" s="825"/>
      <c r="K21" s="827"/>
      <c r="L21" s="828"/>
      <c r="M21" s="843">
        <v>51</v>
      </c>
      <c r="N21" s="829">
        <f t="shared" si="3"/>
        <v>594724.60999999975</v>
      </c>
      <c r="O21" s="830">
        <f t="shared" si="4"/>
        <v>82492.74293595826</v>
      </c>
      <c r="P21" s="831" t="s">
        <v>1277</v>
      </c>
      <c r="Q21" s="878"/>
      <c r="R21" s="885"/>
      <c r="S21" s="595"/>
    </row>
    <row r="22" spans="1:19" ht="11.25" customHeight="1">
      <c r="B22" s="639">
        <v>45394</v>
      </c>
      <c r="C22" s="728" t="s">
        <v>304</v>
      </c>
      <c r="D22" s="728"/>
      <c r="E22" s="740">
        <v>3</v>
      </c>
      <c r="F22" s="640" t="s">
        <v>105</v>
      </c>
      <c r="G22" s="640" t="s">
        <v>1131</v>
      </c>
      <c r="H22" s="642"/>
      <c r="I22" s="758"/>
      <c r="J22" s="643"/>
      <c r="K22" s="709">
        <v>24297</v>
      </c>
      <c r="L22" s="612">
        <f>'통장내역(환율표)'!$D$167</f>
        <v>7.1651000242822729</v>
      </c>
      <c r="M22" s="800">
        <f t="shared" ref="M22:M31" si="5">K22/L22</f>
        <v>3391.0203510988426</v>
      </c>
      <c r="N22" s="759">
        <f t="shared" si="3"/>
        <v>570427.60999999975</v>
      </c>
      <c r="O22" s="760">
        <f t="shared" si="4"/>
        <v>79101.722584859424</v>
      </c>
      <c r="P22" s="761" t="s">
        <v>1274</v>
      </c>
      <c r="Q22" s="879"/>
      <c r="R22" s="886"/>
      <c r="S22" s="595">
        <f>S19-M22</f>
        <v>15315.722584859417</v>
      </c>
    </row>
    <row r="23" spans="1:19" ht="11.25" customHeight="1">
      <c r="B23" s="639">
        <v>45394</v>
      </c>
      <c r="C23" s="728" t="s">
        <v>250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7.2</v>
      </c>
      <c r="L23" s="612">
        <f>'통장내역(환율표)'!$D$167</f>
        <v>7.1651000242822729</v>
      </c>
      <c r="M23" s="800">
        <f t="shared" si="5"/>
        <v>1.0048708288229686</v>
      </c>
      <c r="N23" s="759">
        <f t="shared" si="3"/>
        <v>570420.4099999998</v>
      </c>
      <c r="O23" s="760">
        <f t="shared" si="4"/>
        <v>79100.717714030601</v>
      </c>
      <c r="P23" s="761" t="s">
        <v>1274</v>
      </c>
      <c r="Q23" s="879"/>
      <c r="R23" s="886"/>
      <c r="S23" s="595">
        <f t="shared" ref="S23:S31" si="6">S22-M23</f>
        <v>15314.717714030594</v>
      </c>
    </row>
    <row r="24" spans="1:19" ht="11.25" customHeight="1">
      <c r="B24" s="639">
        <v>45399</v>
      </c>
      <c r="C24" s="728" t="s">
        <v>1259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44555.76</v>
      </c>
      <c r="L24" s="612">
        <f>'통장내역(환율표)'!$D$167</f>
        <v>7.1651000242822729</v>
      </c>
      <c r="M24" s="800">
        <f t="shared" si="5"/>
        <v>6218.4421500051767</v>
      </c>
      <c r="N24" s="759">
        <f t="shared" si="3"/>
        <v>525864.64999999979</v>
      </c>
      <c r="O24" s="760">
        <f t="shared" si="4"/>
        <v>72882.275564025418</v>
      </c>
      <c r="P24" s="761" t="s">
        <v>1274</v>
      </c>
      <c r="Q24" s="879"/>
      <c r="R24" s="886"/>
      <c r="S24" s="595">
        <f t="shared" si="6"/>
        <v>9096.2755640254181</v>
      </c>
    </row>
    <row r="25" spans="1:19" ht="11.25" customHeight="1">
      <c r="B25" s="639">
        <v>45405</v>
      </c>
      <c r="C25" s="728" t="s">
        <v>892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709">
        <v>16000</v>
      </c>
      <c r="L25" s="612">
        <f>'통장내역(환율표)'!$D$167</f>
        <v>7.1651000242822729</v>
      </c>
      <c r="M25" s="800">
        <f t="shared" si="5"/>
        <v>2233.0462862732634</v>
      </c>
      <c r="N25" s="759">
        <f t="shared" si="3"/>
        <v>509864.64999999979</v>
      </c>
      <c r="O25" s="760">
        <f t="shared" si="4"/>
        <v>70649.229277752151</v>
      </c>
      <c r="P25" s="761" t="s">
        <v>1274</v>
      </c>
      <c r="Q25" s="879"/>
      <c r="R25" s="887" t="s">
        <v>1119</v>
      </c>
      <c r="S25" s="595">
        <f t="shared" si="6"/>
        <v>6863.2292777521543</v>
      </c>
    </row>
    <row r="26" spans="1:19" ht="11.25" customHeight="1">
      <c r="B26" s="639">
        <v>45405</v>
      </c>
      <c r="C26" s="728" t="s">
        <v>947</v>
      </c>
      <c r="D26" s="728"/>
      <c r="E26" s="740">
        <v>6</v>
      </c>
      <c r="F26" s="640" t="s">
        <v>107</v>
      </c>
      <c r="G26" s="640"/>
      <c r="H26" s="642"/>
      <c r="I26" s="758"/>
      <c r="J26" s="643"/>
      <c r="K26" s="709">
        <v>24000</v>
      </c>
      <c r="L26" s="612">
        <f>'통장내역(환율표)'!$D$167</f>
        <v>7.1651000242822729</v>
      </c>
      <c r="M26" s="800">
        <f t="shared" si="5"/>
        <v>3349.5694294098953</v>
      </c>
      <c r="N26" s="759">
        <f t="shared" si="3"/>
        <v>485864.64999999979</v>
      </c>
      <c r="O26" s="760">
        <f t="shared" si="4"/>
        <v>67299.659848342257</v>
      </c>
      <c r="P26" s="761" t="s">
        <v>1274</v>
      </c>
      <c r="Q26" s="879"/>
      <c r="R26" s="887" t="s">
        <v>1119</v>
      </c>
      <c r="S26" s="595">
        <f t="shared" si="6"/>
        <v>3513.659848342259</v>
      </c>
    </row>
    <row r="27" spans="1:19" ht="11.25" customHeight="1">
      <c r="B27" s="639">
        <v>45405</v>
      </c>
      <c r="C27" s="728" t="s">
        <v>894</v>
      </c>
      <c r="D27" s="728"/>
      <c r="E27" s="740">
        <v>6</v>
      </c>
      <c r="F27" s="640" t="s">
        <v>107</v>
      </c>
      <c r="G27" s="640"/>
      <c r="H27" s="642"/>
      <c r="I27" s="758"/>
      <c r="J27" s="643"/>
      <c r="K27" s="709">
        <v>5125.99</v>
      </c>
      <c r="L27" s="612">
        <f>'통장내역(환율표)'!$D$167</f>
        <v>7.1651000242822729</v>
      </c>
      <c r="M27" s="800">
        <f t="shared" si="5"/>
        <v>715.41080831086788</v>
      </c>
      <c r="N27" s="759">
        <f t="shared" si="3"/>
        <v>480738.6599999998</v>
      </c>
      <c r="O27" s="760">
        <f t="shared" si="4"/>
        <v>66584.249040031384</v>
      </c>
      <c r="P27" s="761" t="s">
        <v>1274</v>
      </c>
      <c r="Q27" s="879"/>
      <c r="R27" s="887" t="s">
        <v>1119</v>
      </c>
      <c r="S27" s="595">
        <f t="shared" si="6"/>
        <v>2798.2490400313909</v>
      </c>
    </row>
    <row r="28" spans="1:19" ht="11.25" customHeight="1">
      <c r="B28" s="639">
        <v>45405</v>
      </c>
      <c r="C28" s="728" t="s">
        <v>895</v>
      </c>
      <c r="D28" s="728"/>
      <c r="E28" s="740">
        <v>6</v>
      </c>
      <c r="F28" s="640" t="s">
        <v>107</v>
      </c>
      <c r="G28" s="640"/>
      <c r="H28" s="642"/>
      <c r="I28" s="758"/>
      <c r="J28" s="643"/>
      <c r="K28" s="709">
        <v>3336.8000000000011</v>
      </c>
      <c r="L28" s="612">
        <f>'통장내역(환율표)'!$D$167</f>
        <v>7.1651000242822729</v>
      </c>
      <c r="M28" s="800">
        <f t="shared" si="5"/>
        <v>465.70180300228924</v>
      </c>
      <c r="N28" s="759">
        <f t="shared" si="3"/>
        <v>477401.85999999981</v>
      </c>
      <c r="O28" s="760">
        <f t="shared" si="4"/>
        <v>66118.547237029095</v>
      </c>
      <c r="P28" s="761" t="s">
        <v>1274</v>
      </c>
      <c r="Q28" s="879"/>
      <c r="R28" s="887" t="s">
        <v>1119</v>
      </c>
      <c r="S28" s="595">
        <f t="shared" si="6"/>
        <v>2332.5472370291018</v>
      </c>
    </row>
    <row r="29" spans="1:19" ht="11.25" customHeight="1">
      <c r="B29" s="639">
        <v>45405</v>
      </c>
      <c r="C29" s="728" t="s">
        <v>899</v>
      </c>
      <c r="D29" s="728"/>
      <c r="E29" s="740">
        <v>6</v>
      </c>
      <c r="F29" s="640" t="s">
        <v>107</v>
      </c>
      <c r="G29" s="640"/>
      <c r="H29" s="642"/>
      <c r="I29" s="758"/>
      <c r="J29" s="643"/>
      <c r="K29" s="709">
        <v>300</v>
      </c>
      <c r="L29" s="612">
        <f>'통장내역(환율표)'!$D$167</f>
        <v>7.1651000242822729</v>
      </c>
      <c r="M29" s="800">
        <f t="shared" si="5"/>
        <v>41.869617867623688</v>
      </c>
      <c r="N29" s="759">
        <f t="shared" si="3"/>
        <v>477101.85999999981</v>
      </c>
      <c r="O29" s="760">
        <f t="shared" si="4"/>
        <v>66076.677619161477</v>
      </c>
      <c r="P29" s="761" t="s">
        <v>1274</v>
      </c>
      <c r="Q29" s="879"/>
      <c r="R29" s="887" t="s">
        <v>1119</v>
      </c>
      <c r="S29" s="595">
        <f t="shared" si="6"/>
        <v>2290.6776191614781</v>
      </c>
    </row>
    <row r="30" spans="1:19" ht="11.25" customHeight="1">
      <c r="B30" s="639">
        <v>45405</v>
      </c>
      <c r="C30" s="728" t="s">
        <v>892</v>
      </c>
      <c r="D30" s="728"/>
      <c r="E30" s="740">
        <v>6</v>
      </c>
      <c r="F30" s="640" t="s">
        <v>107</v>
      </c>
      <c r="G30" s="640"/>
      <c r="H30" s="642"/>
      <c r="I30" s="758"/>
      <c r="J30" s="643"/>
      <c r="K30" s="709">
        <v>15000</v>
      </c>
      <c r="L30" s="612">
        <f>'통장내역(환율표)'!$D$167</f>
        <v>7.1651000242822729</v>
      </c>
      <c r="M30" s="800">
        <f t="shared" si="5"/>
        <v>2093.4808933811846</v>
      </c>
      <c r="N30" s="759">
        <f t="shared" si="3"/>
        <v>462101.85999999981</v>
      </c>
      <c r="O30" s="760">
        <f t="shared" si="4"/>
        <v>63983.19672578029</v>
      </c>
      <c r="P30" s="761" t="s">
        <v>1274</v>
      </c>
      <c r="Q30" s="879"/>
      <c r="R30" s="887" t="s">
        <v>1120</v>
      </c>
      <c r="S30" s="595">
        <f t="shared" si="6"/>
        <v>197.19672578029349</v>
      </c>
    </row>
    <row r="31" spans="1:19" ht="11.25" customHeight="1">
      <c r="B31" s="832">
        <v>45405</v>
      </c>
      <c r="C31" s="833" t="s">
        <v>947</v>
      </c>
      <c r="D31" s="833"/>
      <c r="E31" s="834">
        <v>6</v>
      </c>
      <c r="F31" s="835" t="s">
        <v>107</v>
      </c>
      <c r="G31" s="835"/>
      <c r="H31" s="836"/>
      <c r="I31" s="837"/>
      <c r="J31" s="838"/>
      <c r="K31" s="839">
        <v>1330.9299999997893</v>
      </c>
      <c r="L31" s="840">
        <f>'통장내역(환율표)'!$D$167</f>
        <v>7.1651000242822729</v>
      </c>
      <c r="M31" s="800">
        <f t="shared" si="5"/>
        <v>185.75176836182527</v>
      </c>
      <c r="N31" s="841">
        <f t="shared" si="3"/>
        <v>460770.93000000005</v>
      </c>
      <c r="O31" s="817">
        <f t="shared" si="4"/>
        <v>63797.444957418462</v>
      </c>
      <c r="P31" s="842" t="s">
        <v>1274</v>
      </c>
      <c r="Q31" s="880"/>
      <c r="R31" s="888" t="s">
        <v>1120</v>
      </c>
      <c r="S31" s="908">
        <f t="shared" si="6"/>
        <v>11.444957418468221</v>
      </c>
    </row>
    <row r="32" spans="1:19" ht="11.25" customHeight="1">
      <c r="B32" s="832"/>
      <c r="C32" s="909" t="s">
        <v>1285</v>
      </c>
      <c r="D32" s="909"/>
      <c r="E32" s="910">
        <v>6</v>
      </c>
      <c r="F32" s="911" t="s">
        <v>107</v>
      </c>
      <c r="G32" s="911"/>
      <c r="H32" s="912"/>
      <c r="I32" s="913"/>
      <c r="J32" s="914"/>
      <c r="K32" s="915"/>
      <c r="L32" s="916"/>
      <c r="M32" s="917">
        <v>11.444957418468221</v>
      </c>
      <c r="N32" s="918">
        <f t="shared" ref="N32:N95" si="7">N31+H32-K32</f>
        <v>460770.93000000005</v>
      </c>
      <c r="O32" s="919">
        <f t="shared" ref="O32:O95" si="8">O31+J32-M32</f>
        <v>63785.999999999993</v>
      </c>
      <c r="P32" s="842" t="s">
        <v>1274</v>
      </c>
      <c r="Q32" s="920"/>
      <c r="R32" s="921" t="s">
        <v>1286</v>
      </c>
      <c r="S32" s="908"/>
    </row>
    <row r="33" spans="2:19" ht="11.25" customHeight="1">
      <c r="B33" s="832">
        <v>45405</v>
      </c>
      <c r="C33" s="833" t="s">
        <v>947</v>
      </c>
      <c r="D33" s="833"/>
      <c r="E33" s="834">
        <v>6</v>
      </c>
      <c r="F33" s="835" t="s">
        <v>107</v>
      </c>
      <c r="G33" s="835"/>
      <c r="H33" s="836"/>
      <c r="I33" s="837"/>
      <c r="J33" s="838"/>
      <c r="K33" s="839">
        <f>22000-K31</f>
        <v>20669.070000000211</v>
      </c>
      <c r="L33" s="840">
        <f>'통장내역(환율표)'!$D$180</f>
        <v>7.2237000282193584</v>
      </c>
      <c r="M33" s="843">
        <f t="shared" ref="M33:M96" si="9">K33/L33</f>
        <v>2861.2857565038084</v>
      </c>
      <c r="N33" s="841">
        <f t="shared" si="7"/>
        <v>440101.85999999987</v>
      </c>
      <c r="O33" s="817">
        <f t="shared" si="8"/>
        <v>60924.714243496186</v>
      </c>
      <c r="P33" s="842" t="s">
        <v>1276</v>
      </c>
      <c r="Q33" s="880"/>
      <c r="R33" s="888" t="s">
        <v>1120</v>
      </c>
      <c r="S33" s="595">
        <f>63786-M33</f>
        <v>60924.714243496193</v>
      </c>
    </row>
    <row r="34" spans="2:19" ht="11.25" customHeight="1">
      <c r="B34" s="639">
        <v>45405</v>
      </c>
      <c r="C34" s="728" t="s">
        <v>894</v>
      </c>
      <c r="D34" s="728"/>
      <c r="E34" s="740">
        <v>6</v>
      </c>
      <c r="F34" s="640" t="s">
        <v>107</v>
      </c>
      <c r="G34" s="640"/>
      <c r="H34" s="642"/>
      <c r="I34" s="758"/>
      <c r="J34" s="643"/>
      <c r="K34" s="709">
        <v>8558.1899999999987</v>
      </c>
      <c r="L34" s="612">
        <f>'통장내역(환율표)'!$D$180</f>
        <v>7.2237000282193584</v>
      </c>
      <c r="M34" s="843">
        <f t="shared" si="9"/>
        <v>1184.7377336499937</v>
      </c>
      <c r="N34" s="759">
        <f t="shared" si="7"/>
        <v>431543.66999999987</v>
      </c>
      <c r="O34" s="760">
        <f t="shared" si="8"/>
        <v>59739.976509846194</v>
      </c>
      <c r="P34" s="761" t="s">
        <v>1276</v>
      </c>
      <c r="Q34" s="879"/>
      <c r="R34" s="887" t="s">
        <v>1120</v>
      </c>
      <c r="S34" s="595">
        <f t="shared" ref="S34:S97" si="10">S33-M34</f>
        <v>59739.976509846201</v>
      </c>
    </row>
    <row r="35" spans="2:19" ht="11.25" customHeight="1">
      <c r="B35" s="639">
        <v>45405</v>
      </c>
      <c r="C35" s="728" t="s">
        <v>895</v>
      </c>
      <c r="D35" s="728"/>
      <c r="E35" s="740">
        <v>6</v>
      </c>
      <c r="F35" s="640" t="s">
        <v>107</v>
      </c>
      <c r="G35" s="640"/>
      <c r="H35" s="642"/>
      <c r="I35" s="758"/>
      <c r="J35" s="709"/>
      <c r="K35" s="709">
        <v>2867</v>
      </c>
      <c r="L35" s="612">
        <f>'통장내역(환율표)'!$D$180</f>
        <v>7.2237000282193584</v>
      </c>
      <c r="M35" s="843">
        <f t="shared" si="9"/>
        <v>396.8880198236464</v>
      </c>
      <c r="N35" s="759">
        <f t="shared" si="7"/>
        <v>428676.66999999987</v>
      </c>
      <c r="O35" s="760">
        <f t="shared" si="8"/>
        <v>59343.08849002255</v>
      </c>
      <c r="P35" s="761" t="s">
        <v>1276</v>
      </c>
      <c r="Q35" s="879"/>
      <c r="R35" s="887" t="s">
        <v>1120</v>
      </c>
      <c r="S35" s="595">
        <f t="shared" si="10"/>
        <v>59343.088490022557</v>
      </c>
    </row>
    <row r="36" spans="2:19" ht="11.25" customHeight="1">
      <c r="B36" s="639">
        <v>45405</v>
      </c>
      <c r="C36" s="728" t="s">
        <v>899</v>
      </c>
      <c r="D36" s="728"/>
      <c r="E36" s="740">
        <v>6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'통장내역(환율표)'!$D$180</f>
        <v>7.2237000282193584</v>
      </c>
      <c r="M36" s="843">
        <f t="shared" si="9"/>
        <v>41.52996370669478</v>
      </c>
      <c r="N36" s="759">
        <f t="shared" si="7"/>
        <v>428376.66999999987</v>
      </c>
      <c r="O36" s="760">
        <f t="shared" si="8"/>
        <v>59301.558526315857</v>
      </c>
      <c r="P36" s="761" t="s">
        <v>1276</v>
      </c>
      <c r="Q36" s="879"/>
      <c r="R36" s="887" t="s">
        <v>1120</v>
      </c>
      <c r="S36" s="595">
        <f t="shared" si="10"/>
        <v>59301.558526315865</v>
      </c>
    </row>
    <row r="37" spans="2:19" ht="11.25" customHeight="1">
      <c r="B37" s="639">
        <v>45405</v>
      </c>
      <c r="C37" s="728" t="s">
        <v>898</v>
      </c>
      <c r="D37" s="728"/>
      <c r="E37" s="740">
        <v>6</v>
      </c>
      <c r="F37" s="640" t="s">
        <v>107</v>
      </c>
      <c r="G37" s="640"/>
      <c r="H37" s="642"/>
      <c r="I37" s="758"/>
      <c r="J37" s="643"/>
      <c r="K37" s="709">
        <v>25000</v>
      </c>
      <c r="L37" s="612">
        <f>'통장내역(환율표)'!$D$180</f>
        <v>7.2237000282193584</v>
      </c>
      <c r="M37" s="843">
        <f t="shared" si="9"/>
        <v>3460.8303088912317</v>
      </c>
      <c r="N37" s="759">
        <f t="shared" si="7"/>
        <v>403376.66999999987</v>
      </c>
      <c r="O37" s="760">
        <f t="shared" si="8"/>
        <v>55840.728217424628</v>
      </c>
      <c r="P37" s="761" t="s">
        <v>1276</v>
      </c>
      <c r="Q37" s="879"/>
      <c r="R37" s="887" t="s">
        <v>1121</v>
      </c>
      <c r="S37" s="595">
        <f t="shared" si="10"/>
        <v>55840.728217424636</v>
      </c>
    </row>
    <row r="38" spans="2:19" ht="11.25" customHeight="1">
      <c r="B38" s="639">
        <v>45405</v>
      </c>
      <c r="C38" s="728" t="s">
        <v>1287</v>
      </c>
      <c r="D38" s="728"/>
      <c r="E38" s="740">
        <v>6</v>
      </c>
      <c r="F38" s="640" t="s">
        <v>107</v>
      </c>
      <c r="G38" s="640"/>
      <c r="H38" s="642"/>
      <c r="I38" s="758"/>
      <c r="J38" s="643"/>
      <c r="K38" s="709">
        <v>12500</v>
      </c>
      <c r="L38" s="612">
        <f>'통장내역(환율표)'!$D$180</f>
        <v>7.2237000282193584</v>
      </c>
      <c r="M38" s="843">
        <f t="shared" si="9"/>
        <v>1730.4151544456158</v>
      </c>
      <c r="N38" s="759">
        <f t="shared" si="7"/>
        <v>390876.66999999987</v>
      </c>
      <c r="O38" s="760">
        <f t="shared" si="8"/>
        <v>54110.31306297901</v>
      </c>
      <c r="P38" s="761" t="s">
        <v>1276</v>
      </c>
      <c r="Q38" s="879"/>
      <c r="R38" s="887" t="s">
        <v>1121</v>
      </c>
      <c r="S38" s="595">
        <f t="shared" si="10"/>
        <v>54110.313062979018</v>
      </c>
    </row>
    <row r="39" spans="2:19" ht="11.25" customHeight="1">
      <c r="B39" s="639">
        <v>45405</v>
      </c>
      <c r="C39" s="741" t="s">
        <v>948</v>
      </c>
      <c r="D39" s="741"/>
      <c r="E39" s="740">
        <v>6</v>
      </c>
      <c r="F39" s="640" t="s">
        <v>107</v>
      </c>
      <c r="G39" s="640"/>
      <c r="H39" s="642"/>
      <c r="I39" s="641" t="s">
        <v>1055</v>
      </c>
      <c r="J39" s="643"/>
      <c r="K39" s="772">
        <v>6936.19</v>
      </c>
      <c r="L39" s="612">
        <f>'통장내역(환율표)'!$D$180</f>
        <v>7.2237000282193584</v>
      </c>
      <c r="M39" s="843">
        <f t="shared" si="9"/>
        <v>960.19906320913083</v>
      </c>
      <c r="N39" s="759">
        <f t="shared" si="7"/>
        <v>383940.47999999986</v>
      </c>
      <c r="O39" s="760">
        <f t="shared" si="8"/>
        <v>53150.113999769877</v>
      </c>
      <c r="P39" s="680" t="s">
        <v>1276</v>
      </c>
      <c r="Q39" s="881"/>
      <c r="R39" s="887" t="s">
        <v>1121</v>
      </c>
      <c r="S39" s="595">
        <f t="shared" si="10"/>
        <v>53150.113999769885</v>
      </c>
    </row>
    <row r="40" spans="2:19" ht="11.25" customHeight="1">
      <c r="B40" s="639">
        <v>45405</v>
      </c>
      <c r="C40" s="642" t="s">
        <v>899</v>
      </c>
      <c r="D40" s="642"/>
      <c r="E40" s="740">
        <v>6</v>
      </c>
      <c r="F40" s="640" t="s">
        <v>107</v>
      </c>
      <c r="G40" s="640"/>
      <c r="H40" s="642"/>
      <c r="I40" s="641"/>
      <c r="J40" s="643"/>
      <c r="K40" s="772">
        <v>300</v>
      </c>
      <c r="L40" s="612">
        <f>'통장내역(환율표)'!$D$180</f>
        <v>7.2237000282193584</v>
      </c>
      <c r="M40" s="843">
        <f t="shared" si="9"/>
        <v>41.52996370669478</v>
      </c>
      <c r="N40" s="857">
        <f t="shared" si="7"/>
        <v>383640.47999999986</v>
      </c>
      <c r="O40" s="760">
        <f t="shared" si="8"/>
        <v>53108.584036063185</v>
      </c>
      <c r="P40" s="680" t="s">
        <v>1276</v>
      </c>
      <c r="Q40" s="881"/>
      <c r="R40" s="887" t="s">
        <v>1121</v>
      </c>
      <c r="S40" s="595">
        <f t="shared" si="10"/>
        <v>53108.584036063192</v>
      </c>
    </row>
    <row r="41" spans="2:19" ht="11.25" customHeight="1">
      <c r="B41" s="639">
        <v>45405</v>
      </c>
      <c r="C41" s="741" t="s">
        <v>992</v>
      </c>
      <c r="D41" s="741"/>
      <c r="E41" s="740">
        <v>6</v>
      </c>
      <c r="F41" s="640" t="s">
        <v>107</v>
      </c>
      <c r="G41" s="640"/>
      <c r="H41" s="642"/>
      <c r="I41" s="641"/>
      <c r="J41" s="643"/>
      <c r="K41" s="667">
        <v>700</v>
      </c>
      <c r="L41" s="612">
        <f>'통장내역(환율표)'!$D$180</f>
        <v>7.2237000282193584</v>
      </c>
      <c r="M41" s="843">
        <f t="shared" si="9"/>
        <v>96.903248648954488</v>
      </c>
      <c r="N41" s="857">
        <f t="shared" si="7"/>
        <v>382940.47999999986</v>
      </c>
      <c r="O41" s="760">
        <f t="shared" si="8"/>
        <v>53011.680787414232</v>
      </c>
      <c r="P41" s="680" t="s">
        <v>1276</v>
      </c>
      <c r="Q41" s="881"/>
      <c r="R41" s="887" t="s">
        <v>1121</v>
      </c>
      <c r="S41" s="595">
        <f t="shared" si="10"/>
        <v>53011.68078741424</v>
      </c>
    </row>
    <row r="42" spans="2:19" ht="11.25" customHeight="1">
      <c r="B42" s="639">
        <v>45405</v>
      </c>
      <c r="C42" s="741" t="s">
        <v>898</v>
      </c>
      <c r="D42" s="741"/>
      <c r="E42" s="740">
        <v>6</v>
      </c>
      <c r="F42" s="640" t="s">
        <v>107</v>
      </c>
      <c r="G42" s="640"/>
      <c r="H42" s="642"/>
      <c r="I42" s="641"/>
      <c r="J42" s="643"/>
      <c r="K42" s="667">
        <v>13000</v>
      </c>
      <c r="L42" s="612">
        <f>'통장내역(환율표)'!$D$180</f>
        <v>7.2237000282193584</v>
      </c>
      <c r="M42" s="843">
        <f t="shared" si="9"/>
        <v>1799.6317606234404</v>
      </c>
      <c r="N42" s="857">
        <f t="shared" si="7"/>
        <v>369940.47999999986</v>
      </c>
      <c r="O42" s="760">
        <f t="shared" si="8"/>
        <v>51212.049026790795</v>
      </c>
      <c r="P42" s="680" t="s">
        <v>1276</v>
      </c>
      <c r="Q42" s="881"/>
      <c r="R42" s="889" t="s">
        <v>1122</v>
      </c>
      <c r="S42" s="595">
        <f t="shared" si="10"/>
        <v>51212.049026790803</v>
      </c>
    </row>
    <row r="43" spans="2:19" ht="11.25" customHeight="1">
      <c r="B43" s="639">
        <v>45405</v>
      </c>
      <c r="C43" s="741" t="s">
        <v>1118</v>
      </c>
      <c r="D43" s="741"/>
      <c r="E43" s="740">
        <v>6</v>
      </c>
      <c r="F43" s="640" t="s">
        <v>107</v>
      </c>
      <c r="G43" s="640"/>
      <c r="H43" s="642"/>
      <c r="I43" s="641"/>
      <c r="J43" s="643"/>
      <c r="K43" s="710">
        <v>4000</v>
      </c>
      <c r="L43" s="612">
        <f>'통장내역(환율표)'!$D$180</f>
        <v>7.2237000282193584</v>
      </c>
      <c r="M43" s="843">
        <f t="shared" si="9"/>
        <v>553.73284942259704</v>
      </c>
      <c r="N43" s="857">
        <f t="shared" si="7"/>
        <v>365940.47999999986</v>
      </c>
      <c r="O43" s="760">
        <f t="shared" si="8"/>
        <v>50658.3161773682</v>
      </c>
      <c r="P43" s="680" t="s">
        <v>1276</v>
      </c>
      <c r="Q43" s="881"/>
      <c r="R43" s="889" t="s">
        <v>1122</v>
      </c>
      <c r="S43" s="595">
        <f t="shared" si="10"/>
        <v>50658.316177368208</v>
      </c>
    </row>
    <row r="44" spans="2:19" ht="11.25" customHeight="1">
      <c r="B44" s="639">
        <v>45405</v>
      </c>
      <c r="C44" s="741" t="s">
        <v>948</v>
      </c>
      <c r="D44" s="741"/>
      <c r="E44" s="740">
        <v>6</v>
      </c>
      <c r="F44" s="640" t="s">
        <v>107</v>
      </c>
      <c r="G44" s="640"/>
      <c r="H44" s="642"/>
      <c r="I44" s="641"/>
      <c r="J44" s="643"/>
      <c r="K44" s="710">
        <v>3041.59</v>
      </c>
      <c r="L44" s="612">
        <f>'통장내역(환율표)'!$D$180</f>
        <v>7.2237000282193584</v>
      </c>
      <c r="M44" s="843">
        <f t="shared" si="9"/>
        <v>421.05707436881926</v>
      </c>
      <c r="N44" s="857">
        <f t="shared" si="7"/>
        <v>362898.88999999984</v>
      </c>
      <c r="O44" s="760">
        <f t="shared" si="8"/>
        <v>50237.259102999378</v>
      </c>
      <c r="P44" s="680" t="s">
        <v>1276</v>
      </c>
      <c r="Q44" s="881"/>
      <c r="R44" s="889" t="s">
        <v>1122</v>
      </c>
      <c r="S44" s="595">
        <f t="shared" si="10"/>
        <v>50237.259102999386</v>
      </c>
    </row>
    <row r="45" spans="2:19" ht="11.25" customHeight="1">
      <c r="B45" s="639">
        <v>45405</v>
      </c>
      <c r="C45" s="741" t="s">
        <v>899</v>
      </c>
      <c r="D45" s="741"/>
      <c r="E45" s="740">
        <v>6</v>
      </c>
      <c r="F45" s="640" t="s">
        <v>107</v>
      </c>
      <c r="G45" s="640"/>
      <c r="H45" s="642"/>
      <c r="I45" s="641"/>
      <c r="J45" s="643"/>
      <c r="K45" s="710">
        <v>300</v>
      </c>
      <c r="L45" s="612">
        <f>'통장내역(환율표)'!$D$180</f>
        <v>7.2237000282193584</v>
      </c>
      <c r="M45" s="843">
        <f t="shared" si="9"/>
        <v>41.52996370669478</v>
      </c>
      <c r="N45" s="857">
        <f t="shared" si="7"/>
        <v>362598.88999999984</v>
      </c>
      <c r="O45" s="760">
        <f t="shared" si="8"/>
        <v>50195.729139292685</v>
      </c>
      <c r="P45" s="680" t="s">
        <v>1276</v>
      </c>
      <c r="Q45" s="881"/>
      <c r="R45" s="889" t="s">
        <v>1122</v>
      </c>
      <c r="S45" s="595">
        <f t="shared" si="10"/>
        <v>50195.729139292693</v>
      </c>
    </row>
    <row r="46" spans="2:19" ht="11.25" customHeight="1">
      <c r="B46" s="639">
        <v>45405</v>
      </c>
      <c r="C46" s="741" t="s">
        <v>992</v>
      </c>
      <c r="D46" s="741"/>
      <c r="E46" s="740">
        <v>6</v>
      </c>
      <c r="F46" s="640" t="s">
        <v>107</v>
      </c>
      <c r="G46" s="640"/>
      <c r="H46" s="642"/>
      <c r="I46" s="641"/>
      <c r="J46" s="643"/>
      <c r="K46" s="711">
        <v>1500</v>
      </c>
      <c r="L46" s="612">
        <f>'통장내역(환율표)'!$D$180</f>
        <v>7.2237000282193584</v>
      </c>
      <c r="M46" s="843">
        <f t="shared" si="9"/>
        <v>207.6498185334739</v>
      </c>
      <c r="N46" s="857">
        <f t="shared" si="7"/>
        <v>361098.88999999984</v>
      </c>
      <c r="O46" s="760">
        <f t="shared" si="8"/>
        <v>49988.079320759214</v>
      </c>
      <c r="P46" s="680" t="s">
        <v>1276</v>
      </c>
      <c r="Q46" s="881"/>
      <c r="R46" s="889" t="s">
        <v>1122</v>
      </c>
      <c r="S46" s="595">
        <f t="shared" si="10"/>
        <v>49988.079320759221</v>
      </c>
    </row>
    <row r="47" spans="2:19" ht="11.25" customHeight="1">
      <c r="B47" s="639">
        <v>45405</v>
      </c>
      <c r="C47" s="741" t="s">
        <v>898</v>
      </c>
      <c r="D47" s="741"/>
      <c r="E47" s="740">
        <v>6</v>
      </c>
      <c r="F47" s="640" t="s">
        <v>107</v>
      </c>
      <c r="G47" s="640"/>
      <c r="H47" s="642"/>
      <c r="I47" s="641"/>
      <c r="J47" s="643"/>
      <c r="K47" s="667">
        <v>25000</v>
      </c>
      <c r="L47" s="612">
        <f>'통장내역(환율표)'!$D$180</f>
        <v>7.2237000282193584</v>
      </c>
      <c r="M47" s="843">
        <f t="shared" si="9"/>
        <v>3460.8303088912317</v>
      </c>
      <c r="N47" s="857">
        <f t="shared" si="7"/>
        <v>336098.88999999984</v>
      </c>
      <c r="O47" s="760">
        <f t="shared" si="8"/>
        <v>46527.249011867985</v>
      </c>
      <c r="P47" s="680" t="s">
        <v>1276</v>
      </c>
      <c r="Q47" s="881"/>
      <c r="R47" s="887" t="s">
        <v>1123</v>
      </c>
      <c r="S47" s="595">
        <f t="shared" si="10"/>
        <v>46527.249011867993</v>
      </c>
    </row>
    <row r="48" spans="2:19" ht="11.25" customHeight="1">
      <c r="B48" s="639">
        <v>45405</v>
      </c>
      <c r="C48" s="741" t="s">
        <v>1118</v>
      </c>
      <c r="D48" s="741"/>
      <c r="E48" s="740">
        <v>6</v>
      </c>
      <c r="F48" s="640" t="s">
        <v>107</v>
      </c>
      <c r="G48" s="640"/>
      <c r="H48" s="642"/>
      <c r="I48" s="641"/>
      <c r="J48" s="643"/>
      <c r="K48" s="667">
        <v>10000</v>
      </c>
      <c r="L48" s="612">
        <f>'통장내역(환율표)'!$D$180</f>
        <v>7.2237000282193584</v>
      </c>
      <c r="M48" s="843">
        <f t="shared" si="9"/>
        <v>1384.3321235564927</v>
      </c>
      <c r="N48" s="857">
        <f t="shared" si="7"/>
        <v>326098.88999999984</v>
      </c>
      <c r="O48" s="760">
        <f t="shared" si="8"/>
        <v>45142.916888311491</v>
      </c>
      <c r="P48" s="680" t="s">
        <v>1276</v>
      </c>
      <c r="Q48" s="881"/>
      <c r="R48" s="887" t="s">
        <v>1123</v>
      </c>
      <c r="S48" s="595">
        <f t="shared" si="10"/>
        <v>45142.916888311498</v>
      </c>
    </row>
    <row r="49" spans="2:19" ht="11.25" customHeight="1">
      <c r="B49" s="639">
        <v>45405</v>
      </c>
      <c r="C49" s="741" t="s">
        <v>948</v>
      </c>
      <c r="D49" s="741"/>
      <c r="E49" s="740">
        <v>6</v>
      </c>
      <c r="F49" s="640" t="s">
        <v>107</v>
      </c>
      <c r="G49" s="640"/>
      <c r="H49" s="642"/>
      <c r="I49" s="641"/>
      <c r="J49" s="643"/>
      <c r="K49" s="667">
        <v>6936.19</v>
      </c>
      <c r="L49" s="612">
        <f>'통장내역(환율표)'!$D$180</f>
        <v>7.2237000282193584</v>
      </c>
      <c r="M49" s="843">
        <f t="shared" si="9"/>
        <v>960.19906320913083</v>
      </c>
      <c r="N49" s="857">
        <f t="shared" si="7"/>
        <v>319162.69999999984</v>
      </c>
      <c r="O49" s="760">
        <f t="shared" si="8"/>
        <v>44182.717825102358</v>
      </c>
      <c r="P49" s="680" t="s">
        <v>1276</v>
      </c>
      <c r="Q49" s="881"/>
      <c r="R49" s="887" t="s">
        <v>1123</v>
      </c>
      <c r="S49" s="595">
        <f t="shared" si="10"/>
        <v>44182.717825102365</v>
      </c>
    </row>
    <row r="50" spans="2:19" ht="11.25" customHeight="1">
      <c r="B50" s="639">
        <v>45405</v>
      </c>
      <c r="C50" s="741" t="s">
        <v>899</v>
      </c>
      <c r="D50" s="741"/>
      <c r="E50" s="740">
        <v>6</v>
      </c>
      <c r="F50" s="640" t="s">
        <v>107</v>
      </c>
      <c r="G50" s="640"/>
      <c r="H50" s="642"/>
      <c r="I50" s="641"/>
      <c r="J50" s="643"/>
      <c r="K50" s="667">
        <v>300</v>
      </c>
      <c r="L50" s="612">
        <f>'통장내역(환율표)'!$D$180</f>
        <v>7.2237000282193584</v>
      </c>
      <c r="M50" s="843">
        <f t="shared" si="9"/>
        <v>41.52996370669478</v>
      </c>
      <c r="N50" s="857">
        <f t="shared" si="7"/>
        <v>318862.69999999984</v>
      </c>
      <c r="O50" s="760">
        <f t="shared" si="8"/>
        <v>44141.187861395665</v>
      </c>
      <c r="P50" s="680" t="s">
        <v>1276</v>
      </c>
      <c r="Q50" s="881"/>
      <c r="R50" s="887" t="s">
        <v>1123</v>
      </c>
      <c r="S50" s="595">
        <f t="shared" si="10"/>
        <v>44141.187861395672</v>
      </c>
    </row>
    <row r="51" spans="2:19" ht="11.25" customHeight="1">
      <c r="B51" s="639">
        <v>45405</v>
      </c>
      <c r="C51" s="741" t="s">
        <v>992</v>
      </c>
      <c r="D51" s="741"/>
      <c r="E51" s="740">
        <v>6</v>
      </c>
      <c r="F51" s="640" t="s">
        <v>107</v>
      </c>
      <c r="G51" s="640"/>
      <c r="H51" s="642"/>
      <c r="I51" s="641"/>
      <c r="J51" s="643"/>
      <c r="K51" s="667">
        <v>600</v>
      </c>
      <c r="L51" s="612">
        <f>'통장내역(환율표)'!$D$180</f>
        <v>7.2237000282193584</v>
      </c>
      <c r="M51" s="843">
        <f t="shared" si="9"/>
        <v>83.059927413389559</v>
      </c>
      <c r="N51" s="857">
        <f t="shared" si="7"/>
        <v>318262.69999999984</v>
      </c>
      <c r="O51" s="760">
        <f t="shared" si="8"/>
        <v>44058.127933982272</v>
      </c>
      <c r="P51" s="680" t="s">
        <v>1276</v>
      </c>
      <c r="Q51" s="881"/>
      <c r="R51" s="887" t="s">
        <v>1123</v>
      </c>
      <c r="S51" s="595">
        <f t="shared" si="10"/>
        <v>44058.12793398228</v>
      </c>
    </row>
    <row r="52" spans="2:19" ht="11.25" customHeight="1">
      <c r="B52" s="639">
        <v>45405</v>
      </c>
      <c r="C52" s="728" t="s">
        <v>250</v>
      </c>
      <c r="D52" s="728"/>
      <c r="E52" s="740">
        <v>7</v>
      </c>
      <c r="F52" s="640" t="s">
        <v>107</v>
      </c>
      <c r="G52" s="640"/>
      <c r="H52" s="642"/>
      <c r="I52" s="641"/>
      <c r="J52" s="643"/>
      <c r="K52" s="667">
        <v>12</v>
      </c>
      <c r="L52" s="612">
        <f>'통장내역(환율표)'!$D$180</f>
        <v>7.2237000282193584</v>
      </c>
      <c r="M52" s="843">
        <f t="shared" si="9"/>
        <v>1.6611985482677911</v>
      </c>
      <c r="N52" s="857">
        <f t="shared" si="7"/>
        <v>318250.69999999984</v>
      </c>
      <c r="O52" s="760">
        <f t="shared" si="8"/>
        <v>44056.466735434005</v>
      </c>
      <c r="P52" s="680" t="s">
        <v>1276</v>
      </c>
      <c r="Q52" s="881"/>
      <c r="R52" s="887"/>
      <c r="S52" s="595">
        <f t="shared" si="10"/>
        <v>44056.466735434013</v>
      </c>
    </row>
    <row r="53" spans="2:19" ht="11.25" customHeight="1">
      <c r="B53" s="639">
        <v>45405</v>
      </c>
      <c r="C53" s="741" t="s">
        <v>305</v>
      </c>
      <c r="D53" s="741"/>
      <c r="E53" s="740">
        <v>8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'통장내역(환율표)'!$D$180</f>
        <v>7.2237000282193584</v>
      </c>
      <c r="M53" s="843">
        <f t="shared" si="9"/>
        <v>1453.5487297343172</v>
      </c>
      <c r="N53" s="857">
        <f t="shared" si="7"/>
        <v>307750.69999999984</v>
      </c>
      <c r="O53" s="760">
        <f t="shared" si="8"/>
        <v>42602.918005699685</v>
      </c>
      <c r="P53" s="680" t="s">
        <v>1276</v>
      </c>
      <c r="Q53" s="881"/>
      <c r="R53" s="887" t="s">
        <v>1260</v>
      </c>
      <c r="S53" s="595">
        <f t="shared" si="10"/>
        <v>42602.918005699692</v>
      </c>
    </row>
    <row r="54" spans="2:19" ht="11.25" customHeight="1">
      <c r="B54" s="639">
        <v>45405</v>
      </c>
      <c r="C54" s="741" t="s">
        <v>1116</v>
      </c>
      <c r="D54" s="741"/>
      <c r="E54" s="740">
        <v>9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'통장내역(환율표)'!$D$180</f>
        <v>7.2237000282193584</v>
      </c>
      <c r="M54" s="843">
        <f t="shared" si="9"/>
        <v>830.59927413389562</v>
      </c>
      <c r="N54" s="857">
        <f t="shared" si="7"/>
        <v>301750.69999999984</v>
      </c>
      <c r="O54" s="760">
        <f t="shared" si="8"/>
        <v>41772.318731565792</v>
      </c>
      <c r="P54" s="761" t="s">
        <v>1276</v>
      </c>
      <c r="Q54" s="879"/>
      <c r="R54" s="886"/>
      <c r="S54" s="595">
        <f t="shared" si="10"/>
        <v>41772.3187315658</v>
      </c>
    </row>
    <row r="55" spans="2:19" ht="11.25" customHeight="1">
      <c r="B55" s="639">
        <v>45405</v>
      </c>
      <c r="C55" s="741" t="s">
        <v>1117</v>
      </c>
      <c r="D55" s="741"/>
      <c r="E55" s="740">
        <v>11</v>
      </c>
      <c r="F55" s="640" t="s">
        <v>107</v>
      </c>
      <c r="G55" s="640"/>
      <c r="H55" s="642"/>
      <c r="I55" s="758"/>
      <c r="J55" s="643"/>
      <c r="K55" s="667">
        <v>180</v>
      </c>
      <c r="L55" s="612">
        <f>'통장내역(환율표)'!$D$180</f>
        <v>7.2237000282193584</v>
      </c>
      <c r="M55" s="843">
        <f t="shared" si="9"/>
        <v>24.917978224016867</v>
      </c>
      <c r="N55" s="857">
        <f t="shared" si="7"/>
        <v>301570.69999999984</v>
      </c>
      <c r="O55" s="760">
        <f t="shared" si="8"/>
        <v>41747.400753341775</v>
      </c>
      <c r="P55" s="761" t="s">
        <v>1276</v>
      </c>
      <c r="Q55" s="879"/>
      <c r="R55" s="886"/>
      <c r="S55" s="595">
        <f t="shared" si="10"/>
        <v>41747.400753341783</v>
      </c>
    </row>
    <row r="56" spans="2:19" ht="11.25" customHeight="1">
      <c r="B56" s="639">
        <v>45405</v>
      </c>
      <c r="C56" s="741" t="s">
        <v>305</v>
      </c>
      <c r="D56" s="741"/>
      <c r="E56" s="740">
        <v>12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'통장내역(환율표)'!$D$180</f>
        <v>7.2237000282193584</v>
      </c>
      <c r="M56" s="843">
        <f>K56/L56-0.003</f>
        <v>969.02948648954475</v>
      </c>
      <c r="N56" s="857">
        <f t="shared" si="7"/>
        <v>294570.69999999984</v>
      </c>
      <c r="O56" s="760">
        <f t="shared" si="8"/>
        <v>40778.371266852228</v>
      </c>
      <c r="P56" s="761" t="s">
        <v>1276</v>
      </c>
      <c r="Q56" s="879"/>
      <c r="R56" s="886"/>
      <c r="S56" s="595">
        <f t="shared" si="10"/>
        <v>40778.371266852235</v>
      </c>
    </row>
    <row r="57" spans="2:19" ht="11.25" customHeight="1">
      <c r="B57" s="639">
        <v>45405</v>
      </c>
      <c r="C57" s="741" t="s">
        <v>1116</v>
      </c>
      <c r="D57" s="741"/>
      <c r="E57" s="740">
        <v>13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'통장내역(환율표)'!$D$180</f>
        <v>7.2237000282193584</v>
      </c>
      <c r="M57" s="843">
        <f t="shared" si="9"/>
        <v>830.59927413389562</v>
      </c>
      <c r="N57" s="857">
        <f t="shared" si="7"/>
        <v>288570.69999999984</v>
      </c>
      <c r="O57" s="760">
        <f t="shared" si="8"/>
        <v>39947.771992718335</v>
      </c>
      <c r="P57" s="761" t="s">
        <v>1276</v>
      </c>
      <c r="Q57" s="879"/>
      <c r="R57" s="886"/>
      <c r="S57" s="595">
        <f t="shared" si="10"/>
        <v>39947.771992718343</v>
      </c>
    </row>
    <row r="58" spans="2:19" ht="11.25" customHeight="1">
      <c r="B58" s="639">
        <v>45405</v>
      </c>
      <c r="C58" s="741" t="s">
        <v>1117</v>
      </c>
      <c r="D58" s="741"/>
      <c r="E58" s="740">
        <v>14</v>
      </c>
      <c r="F58" s="640" t="s">
        <v>107</v>
      </c>
      <c r="G58" s="640"/>
      <c r="H58" s="642"/>
      <c r="I58" s="641"/>
      <c r="J58" s="643"/>
      <c r="K58" s="667">
        <v>1740</v>
      </c>
      <c r="L58" s="612">
        <f>'통장내역(환율표)'!$D$180</f>
        <v>7.2237000282193584</v>
      </c>
      <c r="M58" s="843">
        <f t="shared" si="9"/>
        <v>240.87378949882972</v>
      </c>
      <c r="N58" s="857">
        <f t="shared" si="7"/>
        <v>286830.69999999984</v>
      </c>
      <c r="O58" s="760">
        <f t="shared" si="8"/>
        <v>39706.898203219505</v>
      </c>
      <c r="P58" s="680" t="s">
        <v>1276</v>
      </c>
      <c r="Q58" s="881"/>
      <c r="R58" s="887"/>
      <c r="S58" s="595">
        <f t="shared" si="10"/>
        <v>39706.898203219513</v>
      </c>
    </row>
    <row r="59" spans="2:19" ht="11.25" customHeight="1">
      <c r="B59" s="639">
        <v>45405</v>
      </c>
      <c r="C59" s="642" t="s">
        <v>445</v>
      </c>
      <c r="D59" s="642"/>
      <c r="E59" s="740">
        <v>15</v>
      </c>
      <c r="F59" s="640" t="s">
        <v>107</v>
      </c>
      <c r="G59" s="640"/>
      <c r="H59" s="642"/>
      <c r="I59" s="758"/>
      <c r="J59" s="643"/>
      <c r="K59" s="667">
        <v>7.2</v>
      </c>
      <c r="L59" s="612">
        <f>'통장내역(환율표)'!$D$180</f>
        <v>7.2237000282193584</v>
      </c>
      <c r="M59" s="843">
        <f t="shared" si="9"/>
        <v>0.99671912896067472</v>
      </c>
      <c r="N59" s="857">
        <f t="shared" si="7"/>
        <v>286823.49999999983</v>
      </c>
      <c r="O59" s="760">
        <f t="shared" si="8"/>
        <v>39705.901484090544</v>
      </c>
      <c r="P59" s="761" t="s">
        <v>1276</v>
      </c>
      <c r="Q59" s="879"/>
      <c r="R59" s="886"/>
      <c r="S59" s="595">
        <f t="shared" si="10"/>
        <v>39705.901484090551</v>
      </c>
    </row>
    <row r="60" spans="2:19" ht="11.25" customHeight="1">
      <c r="B60" s="639">
        <v>45405</v>
      </c>
      <c r="C60" s="642" t="s">
        <v>242</v>
      </c>
      <c r="D60" s="642"/>
      <c r="E60" s="740">
        <v>16</v>
      </c>
      <c r="F60" s="640" t="s">
        <v>107</v>
      </c>
      <c r="G60" s="773"/>
      <c r="H60" s="642"/>
      <c r="I60" s="758"/>
      <c r="J60" s="643"/>
      <c r="K60" s="667">
        <v>1313</v>
      </c>
      <c r="L60" s="612">
        <f>'통장내역(환율표)'!$D$180</f>
        <v>7.2237000282193584</v>
      </c>
      <c r="M60" s="843">
        <f t="shared" si="9"/>
        <v>181.76280782296749</v>
      </c>
      <c r="N60" s="857">
        <f t="shared" si="7"/>
        <v>285510.49999999983</v>
      </c>
      <c r="O60" s="760">
        <f t="shared" si="8"/>
        <v>39524.138676267576</v>
      </c>
      <c r="P60" s="761" t="s">
        <v>1276</v>
      </c>
      <c r="Q60" s="879"/>
      <c r="R60" s="886"/>
      <c r="S60" s="595">
        <f t="shared" si="10"/>
        <v>39524.138676267583</v>
      </c>
    </row>
    <row r="61" spans="2:19" ht="11.25" customHeight="1">
      <c r="B61" s="639">
        <v>45405</v>
      </c>
      <c r="C61" s="642" t="s">
        <v>445</v>
      </c>
      <c r="D61" s="642"/>
      <c r="E61" s="740">
        <v>17</v>
      </c>
      <c r="F61" s="640" t="s">
        <v>107</v>
      </c>
      <c r="G61" s="640"/>
      <c r="H61" s="642"/>
      <c r="I61" s="758"/>
      <c r="J61" s="643"/>
      <c r="K61" s="667">
        <v>3.6</v>
      </c>
      <c r="L61" s="612">
        <f>'통장내역(환율표)'!$D$180</f>
        <v>7.2237000282193584</v>
      </c>
      <c r="M61" s="843">
        <f t="shared" si="9"/>
        <v>0.49835956448033736</v>
      </c>
      <c r="N61" s="857">
        <f t="shared" si="7"/>
        <v>285506.89999999985</v>
      </c>
      <c r="O61" s="760">
        <f t="shared" si="8"/>
        <v>39523.640316703095</v>
      </c>
      <c r="P61" s="761" t="s">
        <v>1276</v>
      </c>
      <c r="Q61" s="879"/>
      <c r="R61" s="886"/>
      <c r="S61" s="595">
        <f t="shared" si="10"/>
        <v>39523.640316703102</v>
      </c>
    </row>
    <row r="62" spans="2:19" ht="11.25" customHeight="1">
      <c r="B62" s="639">
        <v>45405</v>
      </c>
      <c r="C62" s="728" t="s">
        <v>1004</v>
      </c>
      <c r="D62" s="728"/>
      <c r="E62" s="740">
        <v>18</v>
      </c>
      <c r="F62" s="640" t="s">
        <v>146</v>
      </c>
      <c r="G62" s="640" t="s">
        <v>147</v>
      </c>
      <c r="H62" s="642"/>
      <c r="I62" s="758"/>
      <c r="J62" s="643"/>
      <c r="K62" s="667">
        <v>220</v>
      </c>
      <c r="L62" s="612">
        <f>'통장내역(환율표)'!$D$180</f>
        <v>7.2237000282193584</v>
      </c>
      <c r="M62" s="843">
        <f t="shared" si="9"/>
        <v>30.455306718242838</v>
      </c>
      <c r="N62" s="857">
        <f t="shared" si="7"/>
        <v>285286.89999999985</v>
      </c>
      <c r="O62" s="760">
        <f t="shared" si="8"/>
        <v>39493.185009984853</v>
      </c>
      <c r="P62" s="761" t="s">
        <v>1276</v>
      </c>
      <c r="Q62" s="879"/>
      <c r="R62" s="886"/>
      <c r="S62" s="595">
        <f t="shared" si="10"/>
        <v>39493.18500998486</v>
      </c>
    </row>
    <row r="63" spans="2:19" ht="11.25" customHeight="1">
      <c r="B63" s="639">
        <v>45405</v>
      </c>
      <c r="C63" s="728" t="s">
        <v>1003</v>
      </c>
      <c r="D63" s="728"/>
      <c r="E63" s="740">
        <v>19</v>
      </c>
      <c r="F63" s="640" t="s">
        <v>146</v>
      </c>
      <c r="G63" s="640" t="s">
        <v>147</v>
      </c>
      <c r="H63" s="642"/>
      <c r="I63" s="758"/>
      <c r="J63" s="643"/>
      <c r="K63" s="667">
        <v>21</v>
      </c>
      <c r="L63" s="612">
        <f>'통장내역(환율표)'!$D$180</f>
        <v>7.2237000282193584</v>
      </c>
      <c r="M63" s="843">
        <f t="shared" si="9"/>
        <v>2.9070974594686345</v>
      </c>
      <c r="N63" s="857">
        <f t="shared" si="7"/>
        <v>285265.89999999985</v>
      </c>
      <c r="O63" s="760">
        <f t="shared" si="8"/>
        <v>39490.277912525387</v>
      </c>
      <c r="P63" s="761" t="s">
        <v>1276</v>
      </c>
      <c r="Q63" s="879"/>
      <c r="R63" s="886"/>
      <c r="S63" s="595">
        <f t="shared" si="10"/>
        <v>39490.277912525395</v>
      </c>
    </row>
    <row r="64" spans="2:19" ht="11.25" customHeight="1">
      <c r="B64" s="639">
        <v>45405</v>
      </c>
      <c r="C64" s="728" t="s">
        <v>1005</v>
      </c>
      <c r="D64" s="728"/>
      <c r="E64" s="740">
        <v>20</v>
      </c>
      <c r="F64" s="640" t="s">
        <v>146</v>
      </c>
      <c r="G64" s="640" t="s">
        <v>147</v>
      </c>
      <c r="H64" s="642"/>
      <c r="I64" s="758"/>
      <c r="J64" s="643"/>
      <c r="K64" s="667">
        <v>1322</v>
      </c>
      <c r="L64" s="612">
        <f>'통장내역(환율표)'!$D$180</f>
        <v>7.2237000282193584</v>
      </c>
      <c r="M64" s="843">
        <f t="shared" si="9"/>
        <v>183.00870673416833</v>
      </c>
      <c r="N64" s="857">
        <f t="shared" si="7"/>
        <v>283943.89999999985</v>
      </c>
      <c r="O64" s="760">
        <f t="shared" si="8"/>
        <v>39307.269205791221</v>
      </c>
      <c r="P64" s="761" t="s">
        <v>1276</v>
      </c>
      <c r="Q64" s="879"/>
      <c r="R64" s="886"/>
      <c r="S64" s="595">
        <f t="shared" si="10"/>
        <v>39307.269205791228</v>
      </c>
    </row>
    <row r="65" spans="2:19" ht="11.25" customHeight="1">
      <c r="B65" s="639">
        <v>45405</v>
      </c>
      <c r="C65" s="728" t="s">
        <v>250</v>
      </c>
      <c r="D65" s="728"/>
      <c r="E65" s="740">
        <v>21</v>
      </c>
      <c r="F65" s="640" t="s">
        <v>107</v>
      </c>
      <c r="G65" s="640"/>
      <c r="H65" s="642"/>
      <c r="I65" s="758"/>
      <c r="J65" s="643"/>
      <c r="K65" s="667">
        <v>3.6</v>
      </c>
      <c r="L65" s="612">
        <f>'통장내역(환율표)'!$D$180</f>
        <v>7.2237000282193584</v>
      </c>
      <c r="M65" s="843">
        <f t="shared" si="9"/>
        <v>0.49835956448033736</v>
      </c>
      <c r="N65" s="857">
        <f t="shared" si="7"/>
        <v>283940.29999999987</v>
      </c>
      <c r="O65" s="760">
        <f t="shared" si="8"/>
        <v>39306.77084622674</v>
      </c>
      <c r="P65" s="761" t="s">
        <v>1276</v>
      </c>
      <c r="Q65" s="879"/>
      <c r="R65" s="886"/>
      <c r="S65" s="595">
        <f t="shared" si="10"/>
        <v>39306.770846226747</v>
      </c>
    </row>
    <row r="66" spans="2:19" ht="11.25" customHeight="1">
      <c r="B66" s="639">
        <v>45405</v>
      </c>
      <c r="C66" s="728" t="s">
        <v>1008</v>
      </c>
      <c r="D66" s="728"/>
      <c r="E66" s="740">
        <v>22</v>
      </c>
      <c r="F66" s="640" t="s">
        <v>146</v>
      </c>
      <c r="G66" s="640" t="s">
        <v>147</v>
      </c>
      <c r="H66" s="642"/>
      <c r="I66" s="758"/>
      <c r="J66" s="643"/>
      <c r="K66" s="667">
        <v>3857</v>
      </c>
      <c r="L66" s="612">
        <f>'통장내역(환율표)'!$D$180</f>
        <v>7.2237000282193584</v>
      </c>
      <c r="M66" s="843">
        <f t="shared" si="9"/>
        <v>533.93690005573922</v>
      </c>
      <c r="N66" s="857">
        <f t="shared" si="7"/>
        <v>280083.29999999987</v>
      </c>
      <c r="O66" s="760">
        <f t="shared" si="8"/>
        <v>38772.833946170998</v>
      </c>
      <c r="P66" s="761" t="s">
        <v>1276</v>
      </c>
      <c r="Q66" s="879"/>
      <c r="R66" s="886"/>
      <c r="S66" s="595">
        <f t="shared" si="10"/>
        <v>38772.833946171006</v>
      </c>
    </row>
    <row r="67" spans="2:19" ht="11.25" customHeight="1">
      <c r="B67" s="639">
        <v>45405</v>
      </c>
      <c r="C67" s="728" t="s">
        <v>1006</v>
      </c>
      <c r="D67" s="728"/>
      <c r="E67" s="740">
        <v>23</v>
      </c>
      <c r="F67" s="640" t="s">
        <v>146</v>
      </c>
      <c r="G67" s="640" t="s">
        <v>147</v>
      </c>
      <c r="H67" s="642"/>
      <c r="I67" s="758"/>
      <c r="J67" s="643"/>
      <c r="K67" s="667">
        <v>376.6</v>
      </c>
      <c r="L67" s="612">
        <f>'통장내역(환율표)'!$D$180</f>
        <v>7.2237000282193584</v>
      </c>
      <c r="M67" s="843">
        <f t="shared" si="9"/>
        <v>52.133947773137514</v>
      </c>
      <c r="N67" s="857">
        <f t="shared" si="7"/>
        <v>279706.6999999999</v>
      </c>
      <c r="O67" s="760">
        <f t="shared" si="8"/>
        <v>38720.69999839786</v>
      </c>
      <c r="P67" s="761" t="s">
        <v>1276</v>
      </c>
      <c r="Q67" s="879"/>
      <c r="R67" s="886"/>
      <c r="S67" s="595">
        <f t="shared" si="10"/>
        <v>38720.699998397868</v>
      </c>
    </row>
    <row r="68" spans="2:19" ht="11.25" customHeight="1">
      <c r="B68" s="639">
        <v>45405</v>
      </c>
      <c r="C68" s="728" t="s">
        <v>1007</v>
      </c>
      <c r="D68" s="728"/>
      <c r="E68" s="740">
        <v>24</v>
      </c>
      <c r="F68" s="640" t="s">
        <v>146</v>
      </c>
      <c r="G68" s="640" t="s">
        <v>147</v>
      </c>
      <c r="H68" s="642"/>
      <c r="I68" s="758"/>
      <c r="J68" s="643"/>
      <c r="K68" s="667">
        <v>348</v>
      </c>
      <c r="L68" s="612">
        <f>'통장내역(환율표)'!$D$180</f>
        <v>7.2237000282193584</v>
      </c>
      <c r="M68" s="843">
        <f t="shared" si="9"/>
        <v>48.174757899765943</v>
      </c>
      <c r="N68" s="857">
        <f t="shared" si="7"/>
        <v>279358.6999999999</v>
      </c>
      <c r="O68" s="760">
        <f t="shared" si="8"/>
        <v>38672.525240498093</v>
      </c>
      <c r="P68" s="761" t="s">
        <v>1276</v>
      </c>
      <c r="Q68" s="879"/>
      <c r="R68" s="886"/>
      <c r="S68" s="595">
        <f t="shared" si="10"/>
        <v>38672.5252404981</v>
      </c>
    </row>
    <row r="69" spans="2:19" ht="11.25" customHeight="1">
      <c r="B69" s="639">
        <v>45405</v>
      </c>
      <c r="C69" s="728" t="s">
        <v>250</v>
      </c>
      <c r="D69" s="728"/>
      <c r="E69" s="740">
        <v>25</v>
      </c>
      <c r="F69" s="640" t="s">
        <v>107</v>
      </c>
      <c r="G69" s="640"/>
      <c r="H69" s="642"/>
      <c r="I69" s="758"/>
      <c r="J69" s="643"/>
      <c r="K69" s="667">
        <v>3.6</v>
      </c>
      <c r="L69" s="612">
        <f>'통장내역(환율표)'!$D$180</f>
        <v>7.2237000282193584</v>
      </c>
      <c r="M69" s="843">
        <f t="shared" si="9"/>
        <v>0.49835956448033736</v>
      </c>
      <c r="N69" s="857">
        <f t="shared" si="7"/>
        <v>279355.09999999992</v>
      </c>
      <c r="O69" s="760">
        <f t="shared" si="8"/>
        <v>38672.026880933612</v>
      </c>
      <c r="P69" s="761" t="s">
        <v>1276</v>
      </c>
      <c r="Q69" s="879"/>
      <c r="R69" s="886"/>
      <c r="S69" s="595">
        <f t="shared" si="10"/>
        <v>38672.026880933619</v>
      </c>
    </row>
    <row r="70" spans="2:19" ht="11.25" customHeight="1">
      <c r="B70" s="639">
        <v>45405</v>
      </c>
      <c r="C70" s="728" t="s">
        <v>1099</v>
      </c>
      <c r="D70" s="728"/>
      <c r="E70" s="740">
        <v>26</v>
      </c>
      <c r="F70" s="640" t="s">
        <v>146</v>
      </c>
      <c r="G70" s="640" t="s">
        <v>147</v>
      </c>
      <c r="H70" s="642"/>
      <c r="I70" s="758"/>
      <c r="J70" s="643"/>
      <c r="K70" s="667">
        <v>1109.6500000000001</v>
      </c>
      <c r="L70" s="612">
        <f>'통장내역(환율표)'!$D$180</f>
        <v>7.2237000282193584</v>
      </c>
      <c r="M70" s="843">
        <f t="shared" si="9"/>
        <v>153.61241409044621</v>
      </c>
      <c r="N70" s="857">
        <f t="shared" si="7"/>
        <v>278245.4499999999</v>
      </c>
      <c r="O70" s="760">
        <f t="shared" si="8"/>
        <v>38518.414466843169</v>
      </c>
      <c r="P70" s="761" t="s">
        <v>1276</v>
      </c>
      <c r="Q70" s="879"/>
      <c r="R70" s="886"/>
      <c r="S70" s="595">
        <f t="shared" si="10"/>
        <v>38518.414466843176</v>
      </c>
    </row>
    <row r="71" spans="2:19" ht="11.25" customHeight="1">
      <c r="B71" s="639">
        <v>45405</v>
      </c>
      <c r="C71" s="728" t="s">
        <v>1098</v>
      </c>
      <c r="D71" s="728"/>
      <c r="E71" s="740">
        <v>27</v>
      </c>
      <c r="F71" s="640" t="s">
        <v>146</v>
      </c>
      <c r="G71" s="640" t="s">
        <v>147</v>
      </c>
      <c r="H71" s="642"/>
      <c r="I71" s="758"/>
      <c r="J71" s="643"/>
      <c r="K71" s="667">
        <v>13526</v>
      </c>
      <c r="L71" s="612">
        <f>'통장내역(환율표)'!$D$180</f>
        <v>7.2237000282193584</v>
      </c>
      <c r="M71" s="843">
        <f t="shared" si="9"/>
        <v>1872.4476303225119</v>
      </c>
      <c r="N71" s="857">
        <f t="shared" si="7"/>
        <v>264719.4499999999</v>
      </c>
      <c r="O71" s="760">
        <f t="shared" si="8"/>
        <v>36645.96683652066</v>
      </c>
      <c r="P71" s="761" t="s">
        <v>1276</v>
      </c>
      <c r="Q71" s="879"/>
      <c r="R71" s="886"/>
      <c r="S71" s="595">
        <f t="shared" si="10"/>
        <v>36645.966836520667</v>
      </c>
    </row>
    <row r="72" spans="2:19" ht="11.25" customHeight="1">
      <c r="B72" s="639">
        <v>45405</v>
      </c>
      <c r="C72" s="728" t="s">
        <v>1124</v>
      </c>
      <c r="D72" s="728"/>
      <c r="E72" s="740">
        <v>28</v>
      </c>
      <c r="F72" s="640" t="s">
        <v>107</v>
      </c>
      <c r="G72" s="640"/>
      <c r="H72" s="642"/>
      <c r="I72" s="758"/>
      <c r="J72" s="643"/>
      <c r="K72" s="667">
        <v>257.2</v>
      </c>
      <c r="L72" s="612">
        <f>'통장내역(환율표)'!$D$180</f>
        <v>7.2237000282193584</v>
      </c>
      <c r="M72" s="843">
        <f t="shared" si="9"/>
        <v>35.605022217872985</v>
      </c>
      <c r="N72" s="857">
        <f t="shared" si="7"/>
        <v>264462.24999999988</v>
      </c>
      <c r="O72" s="760">
        <f t="shared" si="8"/>
        <v>36610.361814302785</v>
      </c>
      <c r="P72" s="761" t="s">
        <v>1276</v>
      </c>
      <c r="Q72" s="879"/>
      <c r="R72" s="886"/>
      <c r="S72" s="595">
        <f t="shared" si="10"/>
        <v>36610.361814302792</v>
      </c>
    </row>
    <row r="73" spans="2:19" ht="11.25" customHeight="1">
      <c r="B73" s="639">
        <v>45405</v>
      </c>
      <c r="C73" s="728" t="s">
        <v>1020</v>
      </c>
      <c r="D73" s="728"/>
      <c r="E73" s="740">
        <v>29</v>
      </c>
      <c r="F73" s="640" t="s">
        <v>116</v>
      </c>
      <c r="G73" s="640" t="s">
        <v>140</v>
      </c>
      <c r="H73" s="642"/>
      <c r="I73" s="758"/>
      <c r="J73" s="643"/>
      <c r="K73" s="667">
        <v>931.67</v>
      </c>
      <c r="L73" s="612">
        <f>'통장내역(환율표)'!$D$180</f>
        <v>7.2237000282193584</v>
      </c>
      <c r="M73" s="843">
        <f t="shared" si="9"/>
        <v>128.97407095538773</v>
      </c>
      <c r="N73" s="857">
        <f t="shared" si="7"/>
        <v>263530.5799999999</v>
      </c>
      <c r="O73" s="760">
        <f t="shared" si="8"/>
        <v>36481.387743347397</v>
      </c>
      <c r="P73" s="761" t="s">
        <v>1276</v>
      </c>
      <c r="Q73" s="879"/>
      <c r="R73" s="886"/>
      <c r="S73" s="595">
        <f t="shared" si="10"/>
        <v>36481.387743347404</v>
      </c>
    </row>
    <row r="74" spans="2:19" ht="11.25" customHeight="1">
      <c r="B74" s="639">
        <v>45405</v>
      </c>
      <c r="C74" s="728" t="s">
        <v>1016</v>
      </c>
      <c r="D74" s="728"/>
      <c r="E74" s="740">
        <v>30</v>
      </c>
      <c r="F74" s="640" t="s">
        <v>107</v>
      </c>
      <c r="G74" s="640"/>
      <c r="H74" s="642"/>
      <c r="I74" s="758"/>
      <c r="J74" s="643"/>
      <c r="K74" s="667">
        <v>332</v>
      </c>
      <c r="L74" s="612">
        <f>'통장내역(환율표)'!$D$180</f>
        <v>7.2237000282193584</v>
      </c>
      <c r="M74" s="843">
        <f t="shared" si="9"/>
        <v>45.959826502075558</v>
      </c>
      <c r="N74" s="857">
        <f t="shared" si="7"/>
        <v>263198.5799999999</v>
      </c>
      <c r="O74" s="760">
        <f t="shared" si="8"/>
        <v>36435.427916845321</v>
      </c>
      <c r="P74" s="761" t="s">
        <v>1276</v>
      </c>
      <c r="Q74" s="879"/>
      <c r="R74" s="886"/>
      <c r="S74" s="595">
        <f t="shared" si="10"/>
        <v>36435.427916845329</v>
      </c>
    </row>
    <row r="75" spans="2:19" ht="11.25" customHeight="1">
      <c r="B75" s="639">
        <v>45405</v>
      </c>
      <c r="C75" s="728" t="s">
        <v>250</v>
      </c>
      <c r="D75" s="728"/>
      <c r="E75" s="740">
        <v>31</v>
      </c>
      <c r="F75" s="640" t="s">
        <v>107</v>
      </c>
      <c r="G75" s="640"/>
      <c r="H75" s="642"/>
      <c r="I75" s="758"/>
      <c r="J75" s="643"/>
      <c r="K75" s="667">
        <v>7.2</v>
      </c>
      <c r="L75" s="612">
        <f>'통장내역(환율표)'!$D$180</f>
        <v>7.2237000282193584</v>
      </c>
      <c r="M75" s="843">
        <f t="shared" si="9"/>
        <v>0.99671912896067472</v>
      </c>
      <c r="N75" s="857">
        <f t="shared" si="7"/>
        <v>263191.37999999989</v>
      </c>
      <c r="O75" s="760">
        <f t="shared" si="8"/>
        <v>36434.43119771636</v>
      </c>
      <c r="P75" s="761" t="s">
        <v>1276</v>
      </c>
      <c r="Q75" s="879"/>
      <c r="R75" s="886"/>
      <c r="S75" s="595">
        <f t="shared" si="10"/>
        <v>36434.431197716367</v>
      </c>
    </row>
    <row r="76" spans="2:19" ht="11.25" customHeight="1">
      <c r="B76" s="639">
        <v>45405</v>
      </c>
      <c r="C76" s="728" t="s">
        <v>1165</v>
      </c>
      <c r="D76" s="728"/>
      <c r="E76" s="740">
        <v>32</v>
      </c>
      <c r="F76" s="640" t="s">
        <v>146</v>
      </c>
      <c r="G76" s="640" t="s">
        <v>147</v>
      </c>
      <c r="H76" s="642"/>
      <c r="I76" s="758"/>
      <c r="J76" s="643"/>
      <c r="K76" s="667">
        <v>5700.57</v>
      </c>
      <c r="L76" s="612">
        <f>'통장내역(환율표)'!$D$180</f>
        <v>7.2237000282193584</v>
      </c>
      <c r="M76" s="843">
        <f t="shared" si="9"/>
        <v>789.14821735824341</v>
      </c>
      <c r="N76" s="857">
        <f t="shared" si="7"/>
        <v>257490.80999999988</v>
      </c>
      <c r="O76" s="760">
        <f t="shared" si="8"/>
        <v>35645.282980358119</v>
      </c>
      <c r="P76" s="761" t="s">
        <v>1276</v>
      </c>
      <c r="Q76" s="879"/>
      <c r="R76" s="886"/>
      <c r="S76" s="595">
        <f t="shared" si="10"/>
        <v>35645.282980358126</v>
      </c>
    </row>
    <row r="77" spans="2:19" ht="11.25" customHeight="1">
      <c r="B77" s="639">
        <v>45405</v>
      </c>
      <c r="C77" s="728" t="s">
        <v>853</v>
      </c>
      <c r="D77" s="728"/>
      <c r="E77" s="740">
        <v>33</v>
      </c>
      <c r="F77" s="640" t="s">
        <v>146</v>
      </c>
      <c r="G77" s="640" t="s">
        <v>147</v>
      </c>
      <c r="H77" s="642"/>
      <c r="I77" s="758"/>
      <c r="J77" s="643"/>
      <c r="K77" s="667">
        <v>1059.8900000000001</v>
      </c>
      <c r="L77" s="612">
        <f>'통장내역(환율표)'!$D$180</f>
        <v>7.2237000282193584</v>
      </c>
      <c r="M77" s="843">
        <f t="shared" si="9"/>
        <v>146.72397744362911</v>
      </c>
      <c r="N77" s="857">
        <f t="shared" si="7"/>
        <v>256430.91999999987</v>
      </c>
      <c r="O77" s="760">
        <f t="shared" si="8"/>
        <v>35498.559002914488</v>
      </c>
      <c r="P77" s="761" t="s">
        <v>1276</v>
      </c>
      <c r="Q77" s="879"/>
      <c r="R77" s="886"/>
      <c r="S77" s="595">
        <f t="shared" si="10"/>
        <v>35498.559002914495</v>
      </c>
    </row>
    <row r="78" spans="2:19" ht="11.25" customHeight="1">
      <c r="B78" s="639">
        <v>45405</v>
      </c>
      <c r="C78" s="728" t="s">
        <v>851</v>
      </c>
      <c r="D78" s="728"/>
      <c r="E78" s="740">
        <v>34</v>
      </c>
      <c r="F78" s="640" t="s">
        <v>116</v>
      </c>
      <c r="G78" s="640" t="s">
        <v>140</v>
      </c>
      <c r="H78" s="642"/>
      <c r="I78" s="758"/>
      <c r="J78" s="643"/>
      <c r="K78" s="667">
        <v>98.8</v>
      </c>
      <c r="L78" s="612">
        <f>'통장내역(환율표)'!$D$180</f>
        <v>7.2237000282193584</v>
      </c>
      <c r="M78" s="843">
        <f t="shared" si="9"/>
        <v>13.677201380738147</v>
      </c>
      <c r="N78" s="857">
        <f t="shared" si="7"/>
        <v>256332.11999999988</v>
      </c>
      <c r="O78" s="760">
        <f t="shared" si="8"/>
        <v>35484.881801533753</v>
      </c>
      <c r="P78" s="761" t="s">
        <v>1276</v>
      </c>
      <c r="Q78" s="879"/>
      <c r="R78" s="886"/>
      <c r="S78" s="595">
        <f t="shared" si="10"/>
        <v>35484.88180153376</v>
      </c>
    </row>
    <row r="79" spans="2:19" ht="11.25" customHeight="1">
      <c r="B79" s="639">
        <v>45405</v>
      </c>
      <c r="C79" s="728" t="s">
        <v>852</v>
      </c>
      <c r="D79" s="728"/>
      <c r="E79" s="740">
        <v>35</v>
      </c>
      <c r="F79" s="640" t="s">
        <v>107</v>
      </c>
      <c r="G79" s="640"/>
      <c r="H79" s="642"/>
      <c r="I79" s="758"/>
      <c r="J79" s="643"/>
      <c r="K79" s="667">
        <v>563.84</v>
      </c>
      <c r="L79" s="612">
        <f>'통장내역(환율표)'!$D$180</f>
        <v>7.2237000282193584</v>
      </c>
      <c r="M79" s="843">
        <f t="shared" si="9"/>
        <v>78.05418245460929</v>
      </c>
      <c r="N79" s="857">
        <f t="shared" si="7"/>
        <v>255768.27999999988</v>
      </c>
      <c r="O79" s="760">
        <f t="shared" si="8"/>
        <v>35406.827619079144</v>
      </c>
      <c r="P79" s="761" t="s">
        <v>1276</v>
      </c>
      <c r="Q79" s="879"/>
      <c r="R79" s="886"/>
      <c r="S79" s="595">
        <f t="shared" si="10"/>
        <v>35406.827619079151</v>
      </c>
    </row>
    <row r="80" spans="2:19" ht="11.25" customHeight="1">
      <c r="B80" s="639">
        <v>45405</v>
      </c>
      <c r="C80" s="728" t="s">
        <v>250</v>
      </c>
      <c r="D80" s="728"/>
      <c r="E80" s="740">
        <v>36</v>
      </c>
      <c r="F80" s="640" t="s">
        <v>107</v>
      </c>
      <c r="G80" s="640"/>
      <c r="H80" s="642"/>
      <c r="I80" s="758"/>
      <c r="J80" s="643"/>
      <c r="K80" s="667">
        <v>3.6</v>
      </c>
      <c r="L80" s="612">
        <f>'통장내역(환율표)'!$D$180</f>
        <v>7.2237000282193584</v>
      </c>
      <c r="M80" s="843">
        <f t="shared" si="9"/>
        <v>0.49835956448033736</v>
      </c>
      <c r="N80" s="857">
        <f t="shared" si="7"/>
        <v>255764.67999999988</v>
      </c>
      <c r="O80" s="760">
        <f t="shared" si="8"/>
        <v>35406.329259514663</v>
      </c>
      <c r="P80" s="761" t="s">
        <v>1276</v>
      </c>
      <c r="Q80" s="879"/>
      <c r="R80" s="886"/>
      <c r="S80" s="595">
        <f t="shared" si="10"/>
        <v>35406.32925951467</v>
      </c>
    </row>
    <row r="81" spans="2:19" ht="11.25" customHeight="1">
      <c r="B81" s="639">
        <v>45405</v>
      </c>
      <c r="C81" s="642" t="s">
        <v>1160</v>
      </c>
      <c r="D81" s="642"/>
      <c r="E81" s="740">
        <v>37</v>
      </c>
      <c r="F81" s="640" t="s">
        <v>125</v>
      </c>
      <c r="G81" s="640" t="s">
        <v>145</v>
      </c>
      <c r="H81" s="642"/>
      <c r="I81" s="758"/>
      <c r="J81" s="643"/>
      <c r="K81" s="667">
        <v>4503.25</v>
      </c>
      <c r="L81" s="612">
        <f>'통장내역(환율표)'!$D$180</f>
        <v>7.2237000282193584</v>
      </c>
      <c r="M81" s="843">
        <f t="shared" si="9"/>
        <v>623.3993635405775</v>
      </c>
      <c r="N81" s="857">
        <f t="shared" si="7"/>
        <v>251261.42999999988</v>
      </c>
      <c r="O81" s="760">
        <f t="shared" si="8"/>
        <v>34782.929895974085</v>
      </c>
      <c r="P81" s="761" t="s">
        <v>1276</v>
      </c>
      <c r="Q81" s="879"/>
      <c r="R81" s="886"/>
      <c r="S81" s="595">
        <f t="shared" si="10"/>
        <v>34782.929895974092</v>
      </c>
    </row>
    <row r="82" spans="2:19" ht="11.25" customHeight="1">
      <c r="B82" s="639">
        <v>45405</v>
      </c>
      <c r="C82" s="642" t="s">
        <v>1162</v>
      </c>
      <c r="D82" s="642"/>
      <c r="E82" s="740">
        <v>38</v>
      </c>
      <c r="F82" s="640" t="s">
        <v>107</v>
      </c>
      <c r="G82" s="640"/>
      <c r="H82" s="642"/>
      <c r="I82" s="758"/>
      <c r="J82" s="643"/>
      <c r="K82" s="772">
        <v>420</v>
      </c>
      <c r="L82" s="612">
        <f>'통장내역(환율표)'!$D$180</f>
        <v>7.2237000282193584</v>
      </c>
      <c r="M82" s="843">
        <f t="shared" si="9"/>
        <v>58.141949189372689</v>
      </c>
      <c r="N82" s="857">
        <f t="shared" si="7"/>
        <v>250841.42999999988</v>
      </c>
      <c r="O82" s="760">
        <f t="shared" si="8"/>
        <v>34724.787946784709</v>
      </c>
      <c r="P82" s="761" t="s">
        <v>1276</v>
      </c>
      <c r="Q82" s="879"/>
      <c r="R82" s="886"/>
      <c r="S82" s="595">
        <f t="shared" si="10"/>
        <v>34724.787946784716</v>
      </c>
    </row>
    <row r="83" spans="2:19" ht="11.25" customHeight="1">
      <c r="B83" s="639">
        <v>45405</v>
      </c>
      <c r="C83" s="642" t="s">
        <v>1261</v>
      </c>
      <c r="D83" s="642"/>
      <c r="E83" s="740">
        <v>39</v>
      </c>
      <c r="F83" s="740" t="s">
        <v>116</v>
      </c>
      <c r="G83" s="640" t="s">
        <v>140</v>
      </c>
      <c r="H83" s="642"/>
      <c r="I83" s="758"/>
      <c r="J83" s="643"/>
      <c r="K83" s="772">
        <v>897.4</v>
      </c>
      <c r="L83" s="612">
        <f>'통장내역(환율표)'!$D$180</f>
        <v>7.2237000282193584</v>
      </c>
      <c r="M83" s="843">
        <f t="shared" si="9"/>
        <v>124.22996476795964</v>
      </c>
      <c r="N83" s="857">
        <f t="shared" si="7"/>
        <v>249944.02999999988</v>
      </c>
      <c r="O83" s="760">
        <f t="shared" si="8"/>
        <v>34600.557982016748</v>
      </c>
      <c r="P83" s="761" t="s">
        <v>1276</v>
      </c>
      <c r="Q83" s="879"/>
      <c r="R83" s="886"/>
      <c r="S83" s="595">
        <f t="shared" si="10"/>
        <v>34600.557982016755</v>
      </c>
    </row>
    <row r="84" spans="2:19" ht="11.25" customHeight="1">
      <c r="B84" s="639">
        <v>45405</v>
      </c>
      <c r="C84" s="642" t="s">
        <v>1163</v>
      </c>
      <c r="D84" s="642"/>
      <c r="E84" s="740">
        <v>40</v>
      </c>
      <c r="F84" s="640" t="s">
        <v>146</v>
      </c>
      <c r="G84" s="640" t="s">
        <v>147</v>
      </c>
      <c r="H84" s="642"/>
      <c r="I84" s="758"/>
      <c r="J84" s="643"/>
      <c r="K84" s="709">
        <v>8882.2099999999991</v>
      </c>
      <c r="L84" s="612">
        <f>'통장내역(환율표)'!$D$180</f>
        <v>7.2237000282193584</v>
      </c>
      <c r="M84" s="843">
        <f t="shared" si="9"/>
        <v>1229.5928631174713</v>
      </c>
      <c r="N84" s="857">
        <f t="shared" si="7"/>
        <v>241061.81999999989</v>
      </c>
      <c r="O84" s="760">
        <f t="shared" si="8"/>
        <v>33370.965118899279</v>
      </c>
      <c r="P84" s="761" t="s">
        <v>1276</v>
      </c>
      <c r="Q84" s="879"/>
      <c r="R84" s="886"/>
      <c r="S84" s="595">
        <f t="shared" si="10"/>
        <v>33370.965118899287</v>
      </c>
    </row>
    <row r="85" spans="2:19" ht="11.25" customHeight="1">
      <c r="B85" s="639">
        <v>45405</v>
      </c>
      <c r="C85" s="728" t="s">
        <v>1164</v>
      </c>
      <c r="D85" s="728"/>
      <c r="E85" s="740">
        <v>41</v>
      </c>
      <c r="F85" s="640" t="s">
        <v>146</v>
      </c>
      <c r="G85" s="640" t="s">
        <v>147</v>
      </c>
      <c r="H85" s="642"/>
      <c r="I85" s="758"/>
      <c r="J85" s="643"/>
      <c r="K85" s="709">
        <v>669.23</v>
      </c>
      <c r="L85" s="612">
        <f>'통장내역(환율표)'!$D$180</f>
        <v>7.2237000282193584</v>
      </c>
      <c r="M85" s="843">
        <f t="shared" si="9"/>
        <v>92.643658704771155</v>
      </c>
      <c r="N85" s="857">
        <f t="shared" si="7"/>
        <v>240392.58999999988</v>
      </c>
      <c r="O85" s="760">
        <f t="shared" si="8"/>
        <v>33278.321460194507</v>
      </c>
      <c r="P85" s="761" t="s">
        <v>1276</v>
      </c>
      <c r="Q85" s="879"/>
      <c r="R85" s="886"/>
      <c r="S85" s="595">
        <f t="shared" si="10"/>
        <v>33278.321460194515</v>
      </c>
    </row>
    <row r="86" spans="2:19" ht="11.25" customHeight="1">
      <c r="B86" s="639">
        <v>45405</v>
      </c>
      <c r="C86" s="728" t="s">
        <v>1262</v>
      </c>
      <c r="D86" s="728"/>
      <c r="E86" s="740">
        <v>42</v>
      </c>
      <c r="F86" s="640" t="s">
        <v>107</v>
      </c>
      <c r="G86" s="640"/>
      <c r="H86" s="642"/>
      <c r="I86" s="758"/>
      <c r="J86" s="643"/>
      <c r="K86" s="709">
        <v>24</v>
      </c>
      <c r="L86" s="612">
        <f>'통장내역(환율표)'!$D$180</f>
        <v>7.2237000282193584</v>
      </c>
      <c r="M86" s="843">
        <f t="shared" si="9"/>
        <v>3.3223970965355822</v>
      </c>
      <c r="N86" s="857">
        <f t="shared" si="7"/>
        <v>240368.58999999988</v>
      </c>
      <c r="O86" s="760">
        <f t="shared" si="8"/>
        <v>33274.999063097974</v>
      </c>
      <c r="P86" s="761" t="s">
        <v>1276</v>
      </c>
      <c r="Q86" s="879"/>
      <c r="R86" s="886"/>
      <c r="S86" s="595">
        <f t="shared" si="10"/>
        <v>33274.999063097981</v>
      </c>
    </row>
    <row r="87" spans="2:19" ht="11.25" customHeight="1">
      <c r="B87" s="639">
        <v>45405</v>
      </c>
      <c r="C87" s="728" t="s">
        <v>250</v>
      </c>
      <c r="D87" s="728"/>
      <c r="E87" s="740">
        <v>43</v>
      </c>
      <c r="F87" s="640" t="s">
        <v>107</v>
      </c>
      <c r="G87" s="640"/>
      <c r="H87" s="642"/>
      <c r="I87" s="758"/>
      <c r="J87" s="643"/>
      <c r="K87" s="709">
        <v>7.2</v>
      </c>
      <c r="L87" s="612">
        <f>'통장내역(환율표)'!$D$180</f>
        <v>7.2237000282193584</v>
      </c>
      <c r="M87" s="843">
        <f t="shared" si="9"/>
        <v>0.99671912896067472</v>
      </c>
      <c r="N87" s="857">
        <f t="shared" si="7"/>
        <v>240361.38999999987</v>
      </c>
      <c r="O87" s="760">
        <f t="shared" si="8"/>
        <v>33274.002343969012</v>
      </c>
      <c r="P87" s="761" t="s">
        <v>1276</v>
      </c>
      <c r="Q87" s="879"/>
      <c r="R87" s="886"/>
      <c r="S87" s="595">
        <f t="shared" si="10"/>
        <v>33274.002343969019</v>
      </c>
    </row>
    <row r="88" spans="2:19" ht="11.25" customHeight="1">
      <c r="B88" s="639">
        <v>45405</v>
      </c>
      <c r="C88" s="728" t="s">
        <v>1174</v>
      </c>
      <c r="D88" s="728"/>
      <c r="E88" s="740">
        <v>44</v>
      </c>
      <c r="F88" s="640" t="s">
        <v>125</v>
      </c>
      <c r="G88" s="640" t="s">
        <v>145</v>
      </c>
      <c r="H88" s="642"/>
      <c r="I88" s="758"/>
      <c r="J88" s="643"/>
      <c r="K88" s="709">
        <v>8554.08</v>
      </c>
      <c r="L88" s="612">
        <f>'통장내역(환율표)'!$D$180</f>
        <v>7.2237000282193584</v>
      </c>
      <c r="M88" s="843">
        <f t="shared" si="9"/>
        <v>1184.1687731472123</v>
      </c>
      <c r="N88" s="857">
        <f t="shared" si="7"/>
        <v>231807.30999999988</v>
      </c>
      <c r="O88" s="760">
        <f t="shared" si="8"/>
        <v>32089.8335708218</v>
      </c>
      <c r="P88" s="761" t="s">
        <v>1276</v>
      </c>
      <c r="Q88" s="879"/>
      <c r="R88" s="886"/>
      <c r="S88" s="595">
        <f t="shared" si="10"/>
        <v>32089.833570821807</v>
      </c>
    </row>
    <row r="89" spans="2:19" ht="11.25" customHeight="1">
      <c r="B89" s="639">
        <v>45405</v>
      </c>
      <c r="C89" s="728" t="s">
        <v>1175</v>
      </c>
      <c r="D89" s="728"/>
      <c r="E89" s="740">
        <v>45</v>
      </c>
      <c r="F89" s="640" t="s">
        <v>116</v>
      </c>
      <c r="G89" s="640" t="s">
        <v>140</v>
      </c>
      <c r="H89" s="642"/>
      <c r="I89" s="758"/>
      <c r="J89" s="643"/>
      <c r="K89" s="709">
        <v>350</v>
      </c>
      <c r="L89" s="612">
        <f>'통장내역(환율표)'!$D$180</f>
        <v>7.2237000282193584</v>
      </c>
      <c r="M89" s="843">
        <f t="shared" si="9"/>
        <v>48.451624324477244</v>
      </c>
      <c r="N89" s="857">
        <f t="shared" si="7"/>
        <v>231457.30999999988</v>
      </c>
      <c r="O89" s="760">
        <f t="shared" si="8"/>
        <v>32041.381946497324</v>
      </c>
      <c r="P89" s="761" t="s">
        <v>1276</v>
      </c>
      <c r="Q89" s="879"/>
      <c r="R89" s="886"/>
      <c r="S89" s="595">
        <f t="shared" si="10"/>
        <v>32041.381946497331</v>
      </c>
    </row>
    <row r="90" spans="2:19" ht="11.25" customHeight="1">
      <c r="B90" s="639">
        <v>45405</v>
      </c>
      <c r="C90" s="728" t="s">
        <v>1263</v>
      </c>
      <c r="D90" s="728"/>
      <c r="E90" s="740">
        <v>46</v>
      </c>
      <c r="F90" s="640" t="s">
        <v>107</v>
      </c>
      <c r="G90" s="640"/>
      <c r="H90" s="642"/>
      <c r="I90" s="758"/>
      <c r="J90" s="643"/>
      <c r="K90" s="709">
        <v>64665</v>
      </c>
      <c r="L90" s="612">
        <f>'통장내역(환율표)'!$D$180</f>
        <v>7.2237000282193584</v>
      </c>
      <c r="M90" s="843">
        <f t="shared" si="9"/>
        <v>8951.7836769780588</v>
      </c>
      <c r="N90" s="857">
        <f t="shared" si="7"/>
        <v>166792.30999999988</v>
      </c>
      <c r="O90" s="760">
        <f t="shared" si="8"/>
        <v>23089.598269519265</v>
      </c>
      <c r="P90" s="761" t="s">
        <v>1276</v>
      </c>
      <c r="Q90" s="879"/>
      <c r="R90" s="886"/>
      <c r="S90" s="595">
        <f t="shared" si="10"/>
        <v>23089.598269519272</v>
      </c>
    </row>
    <row r="91" spans="2:19" ht="11.25" customHeight="1">
      <c r="B91" s="639">
        <v>45405</v>
      </c>
      <c r="C91" s="728" t="s">
        <v>1178</v>
      </c>
      <c r="D91" s="728"/>
      <c r="E91" s="740">
        <v>47</v>
      </c>
      <c r="F91" s="640" t="s">
        <v>146</v>
      </c>
      <c r="G91" s="640" t="s">
        <v>147</v>
      </c>
      <c r="H91" s="642"/>
      <c r="I91" s="758"/>
      <c r="J91" s="643"/>
      <c r="K91" s="709">
        <v>2232.67</v>
      </c>
      <c r="L91" s="612">
        <f>'통장내역(환율표)'!$D$180</f>
        <v>7.2237000282193584</v>
      </c>
      <c r="M91" s="843">
        <f t="shared" si="9"/>
        <v>309.07568023008747</v>
      </c>
      <c r="N91" s="857">
        <f t="shared" si="7"/>
        <v>164559.63999999987</v>
      </c>
      <c r="O91" s="760">
        <f t="shared" si="8"/>
        <v>22780.522589289179</v>
      </c>
      <c r="P91" s="761" t="s">
        <v>1276</v>
      </c>
      <c r="Q91" s="879"/>
      <c r="R91" s="886"/>
      <c r="S91" s="595">
        <f t="shared" si="10"/>
        <v>22780.522589289187</v>
      </c>
    </row>
    <row r="92" spans="2:19" ht="11.25" customHeight="1">
      <c r="B92" s="639">
        <v>45405</v>
      </c>
      <c r="C92" s="728" t="s">
        <v>250</v>
      </c>
      <c r="D92" s="728"/>
      <c r="E92" s="740">
        <v>48</v>
      </c>
      <c r="F92" s="640" t="s">
        <v>107</v>
      </c>
      <c r="G92" s="640"/>
      <c r="H92" s="642"/>
      <c r="I92" s="758"/>
      <c r="J92" s="643"/>
      <c r="K92" s="709">
        <v>14.4</v>
      </c>
      <c r="L92" s="612">
        <f>'통장내역(환율표)'!$D$180</f>
        <v>7.2237000282193584</v>
      </c>
      <c r="M92" s="843">
        <f t="shared" si="9"/>
        <v>1.9934382579213494</v>
      </c>
      <c r="N92" s="857">
        <f t="shared" si="7"/>
        <v>164545.23999999987</v>
      </c>
      <c r="O92" s="760">
        <f t="shared" si="8"/>
        <v>22778.529151031256</v>
      </c>
      <c r="P92" s="761" t="s">
        <v>1276</v>
      </c>
      <c r="Q92" s="879"/>
      <c r="R92" s="886"/>
      <c r="S92" s="595">
        <f t="shared" si="10"/>
        <v>22778.529151031264</v>
      </c>
    </row>
    <row r="93" spans="2:19" ht="11.25" customHeight="1">
      <c r="B93" s="639">
        <v>45405</v>
      </c>
      <c r="C93" s="728" t="s">
        <v>1264</v>
      </c>
      <c r="D93" s="728"/>
      <c r="E93" s="740">
        <v>49</v>
      </c>
      <c r="F93" s="640" t="s">
        <v>146</v>
      </c>
      <c r="G93" s="640" t="s">
        <v>147</v>
      </c>
      <c r="H93" s="642"/>
      <c r="I93" s="758"/>
      <c r="J93" s="643"/>
      <c r="K93" s="709">
        <v>1600</v>
      </c>
      <c r="L93" s="612">
        <f>'통장내역(환율표)'!$D$180</f>
        <v>7.2237000282193584</v>
      </c>
      <c r="M93" s="843">
        <f t="shared" si="9"/>
        <v>221.49313976903881</v>
      </c>
      <c r="N93" s="857">
        <f t="shared" si="7"/>
        <v>162945.23999999987</v>
      </c>
      <c r="O93" s="760">
        <f t="shared" si="8"/>
        <v>22557.036011262218</v>
      </c>
      <c r="P93" s="761" t="s">
        <v>1276</v>
      </c>
      <c r="Q93" s="879"/>
      <c r="R93" s="886"/>
      <c r="S93" s="595">
        <f t="shared" si="10"/>
        <v>22557.036011262226</v>
      </c>
    </row>
    <row r="94" spans="2:19" ht="11.25" customHeight="1">
      <c r="B94" s="639">
        <v>45405</v>
      </c>
      <c r="C94" s="728" t="s">
        <v>250</v>
      </c>
      <c r="D94" s="728"/>
      <c r="E94" s="740">
        <v>50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'통장내역(환율표)'!$D$180</f>
        <v>7.2237000282193584</v>
      </c>
      <c r="M94" s="843">
        <f t="shared" si="9"/>
        <v>0.49835956448033736</v>
      </c>
      <c r="N94" s="857">
        <f t="shared" si="7"/>
        <v>162941.63999999987</v>
      </c>
      <c r="O94" s="760">
        <f t="shared" si="8"/>
        <v>22556.537651697738</v>
      </c>
      <c r="P94" s="761" t="s">
        <v>1276</v>
      </c>
      <c r="Q94" s="879"/>
      <c r="R94" s="886"/>
      <c r="S94" s="595">
        <f t="shared" si="10"/>
        <v>22556.537651697745</v>
      </c>
    </row>
    <row r="95" spans="2:19" ht="11.25" customHeight="1">
      <c r="B95" s="639">
        <v>45406</v>
      </c>
      <c r="C95" s="728" t="s">
        <v>1265</v>
      </c>
      <c r="D95" s="728"/>
      <c r="E95" s="740">
        <v>51</v>
      </c>
      <c r="F95" s="640" t="s">
        <v>107</v>
      </c>
      <c r="G95" s="640"/>
      <c r="H95" s="642"/>
      <c r="I95" s="758"/>
      <c r="J95" s="643"/>
      <c r="K95" s="772">
        <v>274.8</v>
      </c>
      <c r="L95" s="612">
        <f>'통장내역(환율표)'!$D$180</f>
        <v>7.2237000282193584</v>
      </c>
      <c r="M95" s="843">
        <f t="shared" si="9"/>
        <v>38.041446755332416</v>
      </c>
      <c r="N95" s="857">
        <f t="shared" si="7"/>
        <v>162666.83999999988</v>
      </c>
      <c r="O95" s="760">
        <f t="shared" si="8"/>
        <v>22518.496204942407</v>
      </c>
      <c r="P95" s="761" t="s">
        <v>1276</v>
      </c>
      <c r="Q95" s="879"/>
      <c r="R95" s="886" t="s">
        <v>1266</v>
      </c>
      <c r="S95" s="595">
        <f t="shared" si="10"/>
        <v>22518.496204942414</v>
      </c>
    </row>
    <row r="96" spans="2:19" ht="11.25" customHeight="1">
      <c r="B96" s="639">
        <v>45406</v>
      </c>
      <c r="C96" s="728" t="s">
        <v>857</v>
      </c>
      <c r="D96" s="728"/>
      <c r="E96" s="740">
        <v>52</v>
      </c>
      <c r="F96" s="640" t="s">
        <v>107</v>
      </c>
      <c r="G96" s="640"/>
      <c r="H96" s="642"/>
      <c r="I96" s="758"/>
      <c r="J96" s="643"/>
      <c r="K96" s="709">
        <v>269.89999999999998</v>
      </c>
      <c r="L96" s="612">
        <f>'통장내역(환율표)'!$D$180</f>
        <v>7.2237000282193584</v>
      </c>
      <c r="M96" s="843">
        <f t="shared" si="9"/>
        <v>37.363124014789733</v>
      </c>
      <c r="N96" s="857">
        <f t="shared" ref="N96:N104" si="11">N95+H96-K96</f>
        <v>162396.93999999989</v>
      </c>
      <c r="O96" s="760">
        <f t="shared" ref="O96:O104" si="12">O95+J96-M96</f>
        <v>22481.133080927615</v>
      </c>
      <c r="P96" s="761" t="s">
        <v>1276</v>
      </c>
      <c r="Q96" s="879"/>
      <c r="R96" s="886"/>
      <c r="S96" s="595">
        <f t="shared" si="10"/>
        <v>22481.133080927622</v>
      </c>
    </row>
    <row r="97" spans="1:24" ht="11.25" customHeight="1">
      <c r="B97" s="639">
        <v>45406</v>
      </c>
      <c r="C97" s="728" t="s">
        <v>1265</v>
      </c>
      <c r="D97" s="728"/>
      <c r="E97" s="740">
        <v>53</v>
      </c>
      <c r="F97" s="640" t="s">
        <v>107</v>
      </c>
      <c r="G97" s="640"/>
      <c r="H97" s="642"/>
      <c r="I97" s="758"/>
      <c r="J97" s="643"/>
      <c r="K97" s="772">
        <v>40</v>
      </c>
      <c r="L97" s="612">
        <f>'통장내역(환율표)'!$D$180</f>
        <v>7.2237000282193584</v>
      </c>
      <c r="M97" s="843">
        <f t="shared" ref="M97:M104" si="13">K97/L97</f>
        <v>5.5373284942259708</v>
      </c>
      <c r="N97" s="857">
        <f t="shared" si="11"/>
        <v>162356.93999999989</v>
      </c>
      <c r="O97" s="760">
        <f t="shared" si="12"/>
        <v>22475.59575243339</v>
      </c>
      <c r="P97" s="761" t="s">
        <v>1276</v>
      </c>
      <c r="Q97" s="879"/>
      <c r="R97" s="886" t="s">
        <v>1267</v>
      </c>
      <c r="S97" s="595">
        <f t="shared" si="10"/>
        <v>22475.595752433397</v>
      </c>
    </row>
    <row r="98" spans="1:24" ht="11.25" customHeight="1">
      <c r="B98" s="639">
        <v>45406</v>
      </c>
      <c r="C98" s="728" t="s">
        <v>1268</v>
      </c>
      <c r="D98" s="728"/>
      <c r="E98" s="740">
        <v>54</v>
      </c>
      <c r="F98" s="640" t="s">
        <v>107</v>
      </c>
      <c r="G98" s="640"/>
      <c r="H98" s="642"/>
      <c r="I98" s="758"/>
      <c r="J98" s="643"/>
      <c r="K98" s="709">
        <v>1060</v>
      </c>
      <c r="L98" s="612">
        <f>'통장내역(환율표)'!$D$180</f>
        <v>7.2237000282193584</v>
      </c>
      <c r="M98" s="843">
        <f t="shared" si="13"/>
        <v>146.73920509698823</v>
      </c>
      <c r="N98" s="857">
        <f t="shared" si="11"/>
        <v>161296.93999999989</v>
      </c>
      <c r="O98" s="760">
        <f t="shared" si="12"/>
        <v>22328.856547336403</v>
      </c>
      <c r="P98" s="761" t="s">
        <v>1276</v>
      </c>
      <c r="Q98" s="879"/>
      <c r="R98" s="886"/>
      <c r="S98" s="595">
        <f t="shared" ref="S98:S103" si="14">S97-M98</f>
        <v>22328.856547336411</v>
      </c>
    </row>
    <row r="99" spans="1:24" ht="11.25" customHeight="1">
      <c r="B99" s="639">
        <v>45406</v>
      </c>
      <c r="C99" s="728" t="s">
        <v>1109</v>
      </c>
      <c r="D99" s="728"/>
      <c r="E99" s="740">
        <v>55</v>
      </c>
      <c r="F99" s="640" t="s">
        <v>116</v>
      </c>
      <c r="G99" s="640" t="s">
        <v>140</v>
      </c>
      <c r="H99" s="642"/>
      <c r="I99" s="758"/>
      <c r="J99" s="643"/>
      <c r="K99" s="709">
        <v>410.3</v>
      </c>
      <c r="L99" s="612">
        <f>'통장내역(환율표)'!$D$180</f>
        <v>7.2237000282193584</v>
      </c>
      <c r="M99" s="843">
        <f t="shared" si="13"/>
        <v>56.799147029522892</v>
      </c>
      <c r="N99" s="857">
        <f t="shared" si="11"/>
        <v>160886.6399999999</v>
      </c>
      <c r="O99" s="760">
        <f t="shared" si="12"/>
        <v>22272.05740030688</v>
      </c>
      <c r="P99" s="761" t="s">
        <v>1276</v>
      </c>
      <c r="Q99" s="879"/>
      <c r="R99" s="886"/>
      <c r="S99" s="595">
        <f t="shared" si="14"/>
        <v>22272.057400306887</v>
      </c>
    </row>
    <row r="100" spans="1:24" ht="11.25" customHeight="1">
      <c r="B100" s="639">
        <v>45406</v>
      </c>
      <c r="C100" s="728" t="s">
        <v>1265</v>
      </c>
      <c r="D100" s="728"/>
      <c r="E100" s="740">
        <v>56</v>
      </c>
      <c r="F100" s="640" t="s">
        <v>107</v>
      </c>
      <c r="G100" s="640"/>
      <c r="H100" s="642"/>
      <c r="I100" s="758"/>
      <c r="J100" s="643"/>
      <c r="K100" s="772">
        <v>627.46</v>
      </c>
      <c r="L100" s="612">
        <f>'통장내역(환율표)'!$D$180</f>
        <v>7.2237000282193584</v>
      </c>
      <c r="M100" s="843">
        <f t="shared" si="13"/>
        <v>86.861303424675697</v>
      </c>
      <c r="N100" s="857">
        <f t="shared" si="11"/>
        <v>160259.17999999991</v>
      </c>
      <c r="O100" s="760">
        <f t="shared" si="12"/>
        <v>22185.196096882202</v>
      </c>
      <c r="P100" s="761" t="s">
        <v>1276</v>
      </c>
      <c r="Q100" s="879"/>
      <c r="R100" s="886" t="s">
        <v>1269</v>
      </c>
      <c r="S100" s="595">
        <f t="shared" si="14"/>
        <v>22185.19609688221</v>
      </c>
    </row>
    <row r="101" spans="1:24" ht="11.25" customHeight="1">
      <c r="B101" s="639">
        <v>45406</v>
      </c>
      <c r="C101" s="728" t="s">
        <v>845</v>
      </c>
      <c r="D101" s="728"/>
      <c r="E101" s="740">
        <v>57</v>
      </c>
      <c r="F101" s="640" t="s">
        <v>125</v>
      </c>
      <c r="G101" s="640" t="s">
        <v>145</v>
      </c>
      <c r="H101" s="642"/>
      <c r="I101" s="758"/>
      <c r="J101" s="643"/>
      <c r="K101" s="709">
        <v>1586.3</v>
      </c>
      <c r="L101" s="612">
        <f>'통장내역(환율표)'!$D$180</f>
        <v>7.2237000282193584</v>
      </c>
      <c r="M101" s="843">
        <f>K101/L101-0.003</f>
        <v>219.59360475976644</v>
      </c>
      <c r="N101" s="857">
        <f t="shared" si="11"/>
        <v>158672.87999999992</v>
      </c>
      <c r="O101" s="760">
        <f t="shared" si="12"/>
        <v>21965.602492122434</v>
      </c>
      <c r="P101" s="761" t="s">
        <v>1276</v>
      </c>
      <c r="Q101" s="879"/>
      <c r="R101" s="886"/>
      <c r="S101" s="595">
        <f t="shared" si="14"/>
        <v>21965.602492122442</v>
      </c>
    </row>
    <row r="102" spans="1:24" ht="11.25" customHeight="1">
      <c r="B102" s="639">
        <v>45406</v>
      </c>
      <c r="C102" s="728" t="s">
        <v>844</v>
      </c>
      <c r="D102" s="728"/>
      <c r="E102" s="740">
        <v>58</v>
      </c>
      <c r="F102" s="640" t="s">
        <v>146</v>
      </c>
      <c r="G102" s="640" t="s">
        <v>147</v>
      </c>
      <c r="H102" s="642"/>
      <c r="I102" s="758"/>
      <c r="J102" s="643"/>
      <c r="K102" s="709">
        <v>376.2</v>
      </c>
      <c r="L102" s="612">
        <f>'통장내역(환율표)'!$D$180</f>
        <v>7.2237000282193584</v>
      </c>
      <c r="M102" s="843">
        <f t="shared" si="13"/>
        <v>52.078574488195251</v>
      </c>
      <c r="N102" s="857">
        <f t="shared" si="11"/>
        <v>158296.67999999991</v>
      </c>
      <c r="O102" s="760">
        <f t="shared" si="12"/>
        <v>21913.52391763424</v>
      </c>
      <c r="P102" s="761" t="s">
        <v>1276</v>
      </c>
      <c r="Q102" s="879"/>
      <c r="R102" s="886"/>
      <c r="S102" s="595">
        <f t="shared" si="14"/>
        <v>21913.523917634247</v>
      </c>
    </row>
    <row r="103" spans="1:24" ht="11.25" customHeight="1">
      <c r="B103" s="639">
        <v>45406</v>
      </c>
      <c r="C103" s="728" t="s">
        <v>1107</v>
      </c>
      <c r="D103" s="728"/>
      <c r="E103" s="740">
        <v>59</v>
      </c>
      <c r="F103" s="640" t="s">
        <v>146</v>
      </c>
      <c r="G103" s="640" t="s">
        <v>147</v>
      </c>
      <c r="H103" s="642"/>
      <c r="I103" s="758"/>
      <c r="J103" s="643"/>
      <c r="K103" s="709">
        <v>10068.15</v>
      </c>
      <c r="L103" s="612">
        <f>'통장내역(환율표)'!$D$180</f>
        <v>7.2237000282193584</v>
      </c>
      <c r="M103" s="843">
        <f>K103/L103-0.003</f>
        <v>1393.7633469785301</v>
      </c>
      <c r="N103" s="857">
        <f t="shared" si="11"/>
        <v>148228.52999999991</v>
      </c>
      <c r="O103" s="760">
        <f t="shared" si="12"/>
        <v>20519.760570655711</v>
      </c>
      <c r="P103" s="761" t="s">
        <v>1276</v>
      </c>
      <c r="Q103" s="879"/>
      <c r="R103" s="886"/>
      <c r="S103" s="595">
        <f t="shared" si="14"/>
        <v>20519.760570655719</v>
      </c>
    </row>
    <row r="104" spans="1:24" ht="11.25" customHeight="1">
      <c r="B104" s="639">
        <v>45406</v>
      </c>
      <c r="C104" s="728" t="s">
        <v>250</v>
      </c>
      <c r="D104" s="728"/>
      <c r="E104" s="740">
        <v>60</v>
      </c>
      <c r="F104" s="640" t="s">
        <v>107</v>
      </c>
      <c r="G104" s="640"/>
      <c r="H104" s="642"/>
      <c r="I104" s="758"/>
      <c r="J104" s="643"/>
      <c r="K104" s="709">
        <v>7.2</v>
      </c>
      <c r="L104" s="612">
        <f>'통장내역(환율표)'!$D$180</f>
        <v>7.2237000282193584</v>
      </c>
      <c r="M104" s="843">
        <f t="shared" si="13"/>
        <v>0.99671912896067472</v>
      </c>
      <c r="N104" s="873">
        <f t="shared" si="11"/>
        <v>148221.3299999999</v>
      </c>
      <c r="O104" s="874">
        <f t="shared" si="12"/>
        <v>20518.76385152675</v>
      </c>
      <c r="P104" s="761" t="s">
        <v>1276</v>
      </c>
      <c r="Q104" s="879"/>
      <c r="R104" s="886"/>
      <c r="S104" s="875">
        <f>S103-M104</f>
        <v>20518.763851526757</v>
      </c>
    </row>
    <row r="105" spans="1:24" ht="11.25" customHeight="1">
      <c r="B105" s="775"/>
      <c r="C105" s="786" t="s">
        <v>1284</v>
      </c>
      <c r="D105" s="786"/>
      <c r="E105" s="777"/>
      <c r="F105" s="778"/>
      <c r="G105" s="778"/>
      <c r="H105" s="787"/>
      <c r="I105" s="779"/>
      <c r="J105" s="780"/>
      <c r="K105" s="899"/>
      <c r="L105" s="781"/>
      <c r="M105" s="900"/>
      <c r="N105" s="901"/>
      <c r="O105" s="902"/>
      <c r="P105" s="784"/>
      <c r="Q105" s="903"/>
      <c r="R105" s="904"/>
    </row>
    <row r="106" spans="1:24" s="645" customFormat="1" ht="11.25" customHeight="1" thickBot="1">
      <c r="A106" s="614"/>
      <c r="B106" s="742"/>
      <c r="C106" s="743"/>
      <c r="D106" s="743"/>
      <c r="E106" s="743"/>
      <c r="F106" s="745"/>
      <c r="G106" s="746"/>
      <c r="H106" s="747"/>
      <c r="I106" s="748"/>
      <c r="J106" s="749"/>
      <c r="K106" s="750"/>
      <c r="L106" s="736"/>
      <c r="M106" s="752"/>
      <c r="N106" s="756"/>
      <c r="O106" s="757"/>
      <c r="P106" s="753"/>
      <c r="Q106" s="732"/>
      <c r="R106" s="882"/>
      <c r="S106" s="562"/>
      <c r="T106" s="531"/>
      <c r="V106" s="531"/>
      <c r="W106" s="531"/>
      <c r="X106" s="531"/>
    </row>
    <row r="107" spans="1:24" ht="11.25" customHeight="1">
      <c r="C107" s="589"/>
      <c r="D107" s="589"/>
      <c r="E107" s="589"/>
      <c r="F107" s="589"/>
      <c r="G107" s="589"/>
      <c r="H107" s="589"/>
      <c r="K107" s="531"/>
    </row>
    <row r="108" spans="1:24" ht="11.25" customHeight="1">
      <c r="C108" s="589"/>
      <c r="D108" s="589"/>
      <c r="E108" s="589"/>
      <c r="F108" s="589"/>
      <c r="G108" s="589"/>
      <c r="H108" s="589"/>
      <c r="K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  <c r="N109" s="531" t="s">
        <v>1275</v>
      </c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589"/>
      <c r="K111" s="531"/>
    </row>
    <row r="112" spans="1:24" ht="11.25" customHeight="1">
      <c r="C112" s="589"/>
      <c r="D112" s="589"/>
      <c r="E112" s="589"/>
      <c r="F112" s="589"/>
      <c r="G112" s="589"/>
      <c r="H112" s="589"/>
      <c r="K112" s="531"/>
    </row>
    <row r="113" spans="3:8" ht="11.25" customHeight="1">
      <c r="C113" s="589"/>
      <c r="D113" s="589"/>
      <c r="E113" s="589"/>
      <c r="F113" s="589"/>
      <c r="G113" s="589"/>
      <c r="H113" s="589"/>
    </row>
    <row r="114" spans="3:8" ht="11.25" customHeight="1">
      <c r="C114" s="589"/>
      <c r="D114" s="589"/>
      <c r="E114" s="589"/>
      <c r="F114" s="589"/>
      <c r="G114" s="589"/>
      <c r="H114" s="589"/>
    </row>
    <row r="115" spans="3:8" ht="11.25" customHeight="1">
      <c r="C115" s="589"/>
      <c r="D115" s="589"/>
      <c r="E115" s="589"/>
      <c r="F115" s="589"/>
      <c r="G115" s="589"/>
      <c r="H115" s="589"/>
    </row>
    <row r="116" spans="3:8" ht="11.25" customHeight="1">
      <c r="C116" s="589"/>
      <c r="D116" s="589"/>
      <c r="E116" s="589"/>
      <c r="F116" s="589"/>
      <c r="G116" s="589"/>
      <c r="H116" s="589"/>
    </row>
    <row r="117" spans="3:8" ht="11.25" customHeight="1">
      <c r="C117" s="589"/>
      <c r="D117" s="589"/>
      <c r="E117" s="589"/>
      <c r="F117" s="589"/>
      <c r="G117" s="589"/>
      <c r="H117" s="589"/>
    </row>
    <row r="118" spans="3:8" ht="11.25" customHeight="1">
      <c r="C118" s="589"/>
      <c r="D118" s="589"/>
      <c r="E118" s="589"/>
      <c r="F118" s="589"/>
      <c r="G118" s="589"/>
      <c r="H118" s="589"/>
    </row>
    <row r="119" spans="3:8" ht="11.25" customHeight="1">
      <c r="C119" s="589"/>
      <c r="D119" s="589"/>
      <c r="E119" s="589"/>
      <c r="F119" s="589"/>
      <c r="G119" s="589"/>
      <c r="H119" s="589"/>
    </row>
    <row r="120" spans="3:8" ht="11.25" customHeight="1">
      <c r="C120" s="589"/>
      <c r="D120" s="589"/>
      <c r="E120" s="589"/>
      <c r="F120" s="589"/>
      <c r="G120" s="589"/>
      <c r="H120" s="589"/>
    </row>
    <row r="121" spans="3:8" ht="11.25" customHeight="1">
      <c r="C121" s="589"/>
      <c r="D121" s="589"/>
      <c r="E121" s="589"/>
      <c r="F121" s="589"/>
      <c r="G121" s="589"/>
      <c r="H121" s="589"/>
    </row>
  </sheetData>
  <autoFilter ref="B17:R106" xr:uid="{00000000-0009-0000-0000-000001000000}">
    <filterColumn colId="14" showButton="0"/>
    <sortState xmlns:xlrd2="http://schemas.microsoft.com/office/spreadsheetml/2017/richdata2" ref="B21:R30">
      <sortCondition sortBy="cellColor" ref="M17:M106" dxfId="15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28D-1EDD-4E7E-ACDE-A814E274F17A}">
  <sheetPr filterMode="1">
    <tabColor theme="7" tint="-0.249977111117893"/>
  </sheetPr>
  <dimension ref="A1:AC107"/>
  <sheetViews>
    <sheetView showGridLines="0" zoomScaleNormal="100" workbookViewId="0">
      <pane ySplit="18" topLeftCell="A19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1288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1272</v>
      </c>
      <c r="C3" s="547"/>
      <c r="D3" s="547"/>
      <c r="E3" s="547"/>
      <c r="F3" s="790">
        <v>1354.4</v>
      </c>
      <c r="G3" s="550"/>
      <c r="H3" s="546" t="s">
        <v>1289</v>
      </c>
      <c r="I3" s="547"/>
      <c r="K3" s="548"/>
      <c r="L3" s="790">
        <v>1367.9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26358.6</v>
      </c>
      <c r="E5" s="566">
        <v>3648.91</v>
      </c>
      <c r="F5" s="567">
        <f>ROUND(E5*$F$3,0)</f>
        <v>4942084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4942084</v>
      </c>
      <c r="N5" s="932"/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36414.69</v>
      </c>
      <c r="E6" s="570">
        <v>5041</v>
      </c>
      <c r="F6" s="567">
        <f t="shared" ref="F6:F12" si="0">ROUND(E6*$F$3,0)</f>
        <v>6827530</v>
      </c>
      <c r="G6" s="572"/>
      <c r="H6" s="569" t="s">
        <v>13</v>
      </c>
      <c r="I6" s="569" t="s">
        <v>14</v>
      </c>
      <c r="J6" s="766"/>
      <c r="K6" s="766"/>
      <c r="L6" s="723">
        <f t="shared" ref="L6:L11" si="1">ROUND(K6*$L$3,0)</f>
        <v>0</v>
      </c>
      <c r="M6" s="931">
        <f t="shared" ref="M6:M13" si="2">L6+F6</f>
        <v>6827530</v>
      </c>
      <c r="N6" s="932"/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24584</v>
      </c>
      <c r="E7" s="566">
        <v>3403.24</v>
      </c>
      <c r="F7" s="567">
        <f t="shared" si="0"/>
        <v>4609348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4609348</v>
      </c>
      <c r="N7" s="932"/>
      <c r="O7" s="922">
        <v>1500000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2422.58</v>
      </c>
      <c r="F8" s="567">
        <f t="shared" si="0"/>
        <v>3281142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3281142</v>
      </c>
      <c r="N8" s="932"/>
      <c r="O8" s="531">
        <f>O7/L3</f>
        <v>1096.5713867972804</v>
      </c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2100.6999999999998</v>
      </c>
      <c r="E9" s="570">
        <v>290.81</v>
      </c>
      <c r="F9" s="567">
        <f t="shared" si="0"/>
        <v>393873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31">
        <f t="shared" si="2"/>
        <v>393873</v>
      </c>
      <c r="N9" s="932"/>
      <c r="O9" s="930">
        <f>O8/3</f>
        <v>365.52379559909349</v>
      </c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41263.379999999997</v>
      </c>
      <c r="E10" s="570">
        <v>5712.22</v>
      </c>
      <c r="F10" s="567">
        <f t="shared" si="0"/>
        <v>7736631</v>
      </c>
      <c r="G10" s="575"/>
      <c r="H10" s="569" t="s">
        <v>21</v>
      </c>
      <c r="I10" s="569"/>
      <c r="J10" s="766">
        <v>162330.49</v>
      </c>
      <c r="K10" s="766">
        <v>22530.400000000001</v>
      </c>
      <c r="L10" s="723">
        <f>ROUND(K10*$L$3,0)</f>
        <v>30819334</v>
      </c>
      <c r="M10" s="931">
        <f t="shared" si="2"/>
        <v>38555965</v>
      </c>
      <c r="N10" s="932"/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1354.3999734876768</v>
      </c>
      <c r="H11" s="576" t="s">
        <v>1066</v>
      </c>
      <c r="I11" s="577" t="s">
        <v>1294</v>
      </c>
      <c r="J11" s="581">
        <v>7995</v>
      </c>
      <c r="K11" s="935">
        <v>1096.57</v>
      </c>
      <c r="L11" s="934">
        <f t="shared" si="1"/>
        <v>1499998</v>
      </c>
      <c r="M11" s="931">
        <f t="shared" si="2"/>
        <v>1499998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20518.759999999998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148221.37</v>
      </c>
      <c r="E13" s="586">
        <f>SUM(E5:E11)-E12</f>
        <v>20518.759999999998</v>
      </c>
      <c r="F13" s="587">
        <f>SUM(F5:F11)-F12</f>
        <v>27790608</v>
      </c>
      <c r="G13" s="588">
        <f>F13+R13+AC13</f>
        <v>27790608</v>
      </c>
      <c r="H13" s="583" t="s">
        <v>22</v>
      </c>
      <c r="I13" s="584"/>
      <c r="J13" s="585">
        <f>SUM(J5:J11)-J12</f>
        <v>170325.49</v>
      </c>
      <c r="K13" s="586">
        <f>SUM(K5:K11)-K12</f>
        <v>23626.97</v>
      </c>
      <c r="L13" s="587">
        <f>SUM(L5:L11)-L12</f>
        <v>32319332</v>
      </c>
      <c r="M13" s="931">
        <f t="shared" si="2"/>
        <v>60109940</v>
      </c>
      <c r="N13" s="931">
        <v>2363175</v>
      </c>
      <c r="O13" s="856">
        <f>M13+N13</f>
        <v>62473115</v>
      </c>
      <c r="P13" s="853"/>
      <c r="Q13" s="853"/>
      <c r="R13" s="853"/>
      <c r="X13" s="789">
        <f>F13+R13</f>
        <v>27790608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/>
      <c r="E14" s="815">
        <f>SUM(E7:E10)</f>
        <v>11828.85</v>
      </c>
      <c r="F14" s="816">
        <f>SUM(F7:F10)</f>
        <v>16020994</v>
      </c>
      <c r="G14" s="594"/>
      <c r="O14" s="595"/>
      <c r="P14" s="924">
        <f>P13+D13+J13</f>
        <v>318546.86</v>
      </c>
      <c r="Q14" s="924">
        <f>Q13+E13+K13</f>
        <v>44145.729999999996</v>
      </c>
      <c r="R14" s="925">
        <f>R13+F13+L13</f>
        <v>60109940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9075</v>
      </c>
      <c r="L15" s="137"/>
      <c r="M15" s="724">
        <f>SUBTOTAL(9,M18:M121)</f>
        <v>1256.3504150368951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5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29"/>
      <c r="R17" s="556" t="s">
        <v>1071</v>
      </c>
    </row>
    <row r="18" spans="1:19" ht="11.25" hidden="1" customHeight="1">
      <c r="B18" s="729">
        <v>45412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148221.3299999999</v>
      </c>
      <c r="O18" s="859">
        <v>20518.76385152675</v>
      </c>
      <c r="P18" s="753"/>
      <c r="Q18" s="876"/>
      <c r="R18" s="883"/>
      <c r="S18" s="926">
        <v>20518.759999999998</v>
      </c>
    </row>
    <row r="19" spans="1:19" ht="11.25" hidden="1" customHeight="1">
      <c r="B19" s="821">
        <v>45424</v>
      </c>
      <c r="C19" s="822" t="s">
        <v>834</v>
      </c>
      <c r="D19" s="822"/>
      <c r="E19" s="823"/>
      <c r="F19" s="824"/>
      <c r="G19" s="824"/>
      <c r="H19" s="825">
        <v>299792.27</v>
      </c>
      <c r="I19" s="826"/>
      <c r="J19" s="825">
        <v>41566</v>
      </c>
      <c r="K19" s="827"/>
      <c r="L19" s="828"/>
      <c r="M19" s="765"/>
      <c r="N19" s="829">
        <f t="shared" ref="N19:N50" si="3">N18+H19-K19</f>
        <v>448013.59999999992</v>
      </c>
      <c r="O19" s="830">
        <f t="shared" ref="O19:O50" si="4">O18+J19-M19</f>
        <v>62084.763851526746</v>
      </c>
      <c r="P19" s="831"/>
      <c r="Q19" s="878"/>
      <c r="R19" s="885"/>
      <c r="S19" s="595"/>
    </row>
    <row r="20" spans="1:19" ht="11.25" hidden="1" customHeight="1">
      <c r="B20" s="821">
        <v>45424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/>
      <c r="M20" s="843">
        <v>51</v>
      </c>
      <c r="N20" s="829">
        <f t="shared" si="3"/>
        <v>448013.59999999992</v>
      </c>
      <c r="O20" s="830">
        <f t="shared" si="4"/>
        <v>62033.763851526746</v>
      </c>
      <c r="P20" s="831"/>
      <c r="Q20" s="878"/>
      <c r="R20" s="885"/>
      <c r="S20" s="595"/>
    </row>
    <row r="21" spans="1:19" ht="11.25" hidden="1" customHeight="1">
      <c r="B21" s="639">
        <v>45427</v>
      </c>
      <c r="C21" s="728" t="s">
        <v>304</v>
      </c>
      <c r="D21" s="728"/>
      <c r="E21" s="740">
        <v>2</v>
      </c>
      <c r="F21" s="640" t="s">
        <v>105</v>
      </c>
      <c r="G21" s="640" t="s">
        <v>1131</v>
      </c>
      <c r="H21" s="642"/>
      <c r="I21" s="758"/>
      <c r="J21" s="643"/>
      <c r="K21" s="709">
        <v>24584</v>
      </c>
      <c r="L21" s="612">
        <f>'통장내역(환율표)'!$D$180</f>
        <v>7.2237000282193584</v>
      </c>
      <c r="M21" s="800">
        <f t="shared" ref="M21:M67" si="5">K21/L21</f>
        <v>3403.2420925512815</v>
      </c>
      <c r="N21" s="759">
        <f t="shared" si="3"/>
        <v>423429.59999999992</v>
      </c>
      <c r="O21" s="760">
        <f t="shared" si="4"/>
        <v>58630.521758975461</v>
      </c>
      <c r="P21" s="761" t="s">
        <v>1276</v>
      </c>
      <c r="Q21" s="879"/>
      <c r="R21" s="886"/>
      <c r="S21" s="595">
        <f>S18-M21</f>
        <v>17115.517907448717</v>
      </c>
    </row>
    <row r="22" spans="1:19" ht="11.25" hidden="1" customHeight="1">
      <c r="B22" s="639">
        <v>45427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'통장내역(환율표)'!$D$180</f>
        <v>7.2237000282193584</v>
      </c>
      <c r="M22" s="800">
        <f t="shared" si="5"/>
        <v>0.99671912896067472</v>
      </c>
      <c r="N22" s="759">
        <f t="shared" si="3"/>
        <v>423422.39999999991</v>
      </c>
      <c r="O22" s="760">
        <f t="shared" si="4"/>
        <v>58629.5250398465</v>
      </c>
      <c r="P22" s="761" t="s">
        <v>1276</v>
      </c>
      <c r="Q22" s="879"/>
      <c r="R22" s="886"/>
      <c r="S22" s="595">
        <f>S21-M22</f>
        <v>17114.521188319755</v>
      </c>
    </row>
    <row r="23" spans="1:19" ht="11.25" hidden="1" customHeight="1">
      <c r="B23" s="639">
        <v>45434</v>
      </c>
      <c r="C23" s="728" t="s">
        <v>1290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80</v>
      </c>
      <c r="L23" s="612">
        <f>'통장내역(환율표)'!$D$180</f>
        <v>7.2237000282193584</v>
      </c>
      <c r="M23" s="800">
        <f t="shared" si="5"/>
        <v>11.074656988451942</v>
      </c>
      <c r="N23" s="759">
        <f t="shared" si="3"/>
        <v>423342.39999999991</v>
      </c>
      <c r="O23" s="760">
        <f t="shared" si="4"/>
        <v>58618.450382858049</v>
      </c>
      <c r="P23" s="761" t="s">
        <v>1276</v>
      </c>
      <c r="Q23" s="879"/>
      <c r="R23" s="886"/>
      <c r="S23" s="595">
        <f t="shared" ref="S23:S68" si="6">S22-M23</f>
        <v>17103.446531331305</v>
      </c>
    </row>
    <row r="24" spans="1:19" ht="11.25" hidden="1" customHeight="1">
      <c r="B24" s="639">
        <v>45434</v>
      </c>
      <c r="C24" s="741" t="s">
        <v>305</v>
      </c>
      <c r="D24" s="728"/>
      <c r="E24" s="740">
        <v>5</v>
      </c>
      <c r="F24" s="640" t="s">
        <v>105</v>
      </c>
      <c r="G24" s="640" t="s">
        <v>227</v>
      </c>
      <c r="H24" s="642"/>
      <c r="I24" s="758"/>
      <c r="J24" s="643"/>
      <c r="K24" s="667">
        <v>10500</v>
      </c>
      <c r="L24" s="612">
        <f>'통장내역(환율표)'!$D$180</f>
        <v>7.2237000282193584</v>
      </c>
      <c r="M24" s="800">
        <f t="shared" si="5"/>
        <v>1453.5487297343172</v>
      </c>
      <c r="N24" s="759">
        <f t="shared" si="3"/>
        <v>412842.39999999991</v>
      </c>
      <c r="O24" s="760">
        <f t="shared" si="4"/>
        <v>57164.901653123728</v>
      </c>
      <c r="P24" s="761" t="s">
        <v>1276</v>
      </c>
      <c r="Q24" s="879"/>
      <c r="R24" s="886"/>
      <c r="S24" s="595">
        <f t="shared" si="6"/>
        <v>15649.897801596988</v>
      </c>
    </row>
    <row r="25" spans="1:19" ht="11.25" hidden="1" customHeight="1">
      <c r="B25" s="639">
        <v>45434</v>
      </c>
      <c r="C25" s="741" t="s">
        <v>1116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667">
        <v>6000</v>
      </c>
      <c r="L25" s="612">
        <f>'통장내역(환율표)'!$D$180</f>
        <v>7.2237000282193584</v>
      </c>
      <c r="M25" s="800">
        <f t="shared" si="5"/>
        <v>830.59927413389562</v>
      </c>
      <c r="N25" s="759">
        <f t="shared" si="3"/>
        <v>406842.39999999991</v>
      </c>
      <c r="O25" s="760">
        <f t="shared" si="4"/>
        <v>56334.302378989836</v>
      </c>
      <c r="P25" s="761" t="s">
        <v>1276</v>
      </c>
      <c r="Q25" s="879"/>
      <c r="R25" s="886"/>
      <c r="S25" s="595">
        <f t="shared" si="6"/>
        <v>14819.298527463092</v>
      </c>
    </row>
    <row r="26" spans="1:19" ht="11.25" hidden="1" customHeight="1">
      <c r="B26" s="639">
        <v>45434</v>
      </c>
      <c r="C26" s="741" t="s">
        <v>1117</v>
      </c>
      <c r="D26" s="728"/>
      <c r="E26" s="740">
        <v>7</v>
      </c>
      <c r="F26" s="640" t="s">
        <v>107</v>
      </c>
      <c r="G26" s="640"/>
      <c r="H26" s="642"/>
      <c r="I26" s="758"/>
      <c r="J26" s="643"/>
      <c r="K26" s="667">
        <v>1340</v>
      </c>
      <c r="L26" s="612">
        <f>'통장내역(환율표)'!$D$180</f>
        <v>7.2237000282193584</v>
      </c>
      <c r="M26" s="800">
        <f t="shared" si="5"/>
        <v>185.50050455657001</v>
      </c>
      <c r="N26" s="759">
        <f t="shared" si="3"/>
        <v>405502.39999999991</v>
      </c>
      <c r="O26" s="760">
        <f t="shared" si="4"/>
        <v>56148.801874433266</v>
      </c>
      <c r="P26" s="761" t="s">
        <v>1276</v>
      </c>
      <c r="Q26" s="879"/>
      <c r="R26" s="886"/>
      <c r="S26" s="595">
        <f t="shared" si="6"/>
        <v>14633.798022906522</v>
      </c>
    </row>
    <row r="27" spans="1:19" ht="11.25" hidden="1" customHeight="1">
      <c r="B27" s="639">
        <v>45434</v>
      </c>
      <c r="C27" s="741" t="s">
        <v>305</v>
      </c>
      <c r="D27" s="728"/>
      <c r="E27" s="740">
        <v>8</v>
      </c>
      <c r="F27" s="640" t="s">
        <v>105</v>
      </c>
      <c r="G27" s="640" t="s">
        <v>227</v>
      </c>
      <c r="H27" s="642"/>
      <c r="I27" s="758"/>
      <c r="J27" s="643"/>
      <c r="K27" s="772">
        <v>7000</v>
      </c>
      <c r="L27" s="612">
        <f>'통장내역(환율표)'!$D$180</f>
        <v>7.2237000282193584</v>
      </c>
      <c r="M27" s="800">
        <f t="shared" si="5"/>
        <v>969.03248648954479</v>
      </c>
      <c r="N27" s="759">
        <f t="shared" si="3"/>
        <v>398502.39999999991</v>
      </c>
      <c r="O27" s="760">
        <f t="shared" si="4"/>
        <v>55179.769387943721</v>
      </c>
      <c r="P27" s="761" t="s">
        <v>1276</v>
      </c>
      <c r="Q27" s="879"/>
      <c r="R27" s="886"/>
      <c r="S27" s="595">
        <f t="shared" si="6"/>
        <v>13664.765536416977</v>
      </c>
    </row>
    <row r="28" spans="1:19" ht="11.25" hidden="1" customHeight="1">
      <c r="B28" s="639">
        <v>45434</v>
      </c>
      <c r="C28" s="741" t="s">
        <v>1116</v>
      </c>
      <c r="D28" s="728"/>
      <c r="E28" s="740">
        <v>9</v>
      </c>
      <c r="F28" s="640" t="s">
        <v>107</v>
      </c>
      <c r="G28" s="640"/>
      <c r="H28" s="642"/>
      <c r="I28" s="758"/>
      <c r="J28" s="643"/>
      <c r="K28" s="772">
        <v>6000</v>
      </c>
      <c r="L28" s="612">
        <f>'통장내역(환율표)'!$D$180</f>
        <v>7.2237000282193584</v>
      </c>
      <c r="M28" s="800">
        <f t="shared" si="5"/>
        <v>830.59927413389562</v>
      </c>
      <c r="N28" s="759">
        <f t="shared" si="3"/>
        <v>392502.39999999991</v>
      </c>
      <c r="O28" s="760">
        <f t="shared" si="4"/>
        <v>54349.170113809829</v>
      </c>
      <c r="P28" s="761" t="s">
        <v>1276</v>
      </c>
      <c r="Q28" s="879"/>
      <c r="R28" s="886"/>
      <c r="S28" s="595">
        <f t="shared" si="6"/>
        <v>12834.166262283081</v>
      </c>
    </row>
    <row r="29" spans="1:19" ht="11.25" hidden="1" customHeight="1">
      <c r="B29" s="639">
        <v>45434</v>
      </c>
      <c r="C29" s="741" t="s">
        <v>1117</v>
      </c>
      <c r="D29" s="728"/>
      <c r="E29" s="740">
        <v>10</v>
      </c>
      <c r="F29" s="640" t="s">
        <v>107</v>
      </c>
      <c r="G29" s="640"/>
      <c r="H29" s="642"/>
      <c r="I29" s="758"/>
      <c r="J29" s="643"/>
      <c r="K29" s="667">
        <v>420</v>
      </c>
      <c r="L29" s="612">
        <f>'통장내역(환율표)'!$D$180</f>
        <v>7.2237000282193584</v>
      </c>
      <c r="M29" s="800">
        <f t="shared" si="5"/>
        <v>58.141949189372689</v>
      </c>
      <c r="N29" s="759">
        <f t="shared" si="3"/>
        <v>392082.39999999991</v>
      </c>
      <c r="O29" s="760">
        <f t="shared" si="4"/>
        <v>54291.028164620453</v>
      </c>
      <c r="P29" s="761" t="s">
        <v>1276</v>
      </c>
      <c r="Q29" s="879"/>
      <c r="R29" s="886"/>
      <c r="S29" s="595">
        <f t="shared" si="6"/>
        <v>12776.024313093709</v>
      </c>
    </row>
    <row r="30" spans="1:19" ht="11.25" hidden="1" customHeight="1">
      <c r="B30" s="639">
        <v>45434</v>
      </c>
      <c r="C30" s="642" t="s">
        <v>445</v>
      </c>
      <c r="D30" s="728"/>
      <c r="E30" s="740">
        <v>11</v>
      </c>
      <c r="F30" s="640" t="s">
        <v>107</v>
      </c>
      <c r="G30" s="640"/>
      <c r="H30" s="642"/>
      <c r="I30" s="758"/>
      <c r="J30" s="643"/>
      <c r="K30" s="667">
        <v>7.2</v>
      </c>
      <c r="L30" s="612">
        <f>'통장내역(환율표)'!$D$180</f>
        <v>7.2237000282193584</v>
      </c>
      <c r="M30" s="800">
        <f t="shared" si="5"/>
        <v>0.99671912896067472</v>
      </c>
      <c r="N30" s="759">
        <f t="shared" si="3"/>
        <v>392075.1999999999</v>
      </c>
      <c r="O30" s="760">
        <f t="shared" si="4"/>
        <v>54290.031445491491</v>
      </c>
      <c r="P30" s="761" t="s">
        <v>1276</v>
      </c>
      <c r="Q30" s="879"/>
      <c r="R30" s="886"/>
      <c r="S30" s="595">
        <f t="shared" si="6"/>
        <v>12775.027593964747</v>
      </c>
    </row>
    <row r="31" spans="1:19" ht="11.25" customHeight="1">
      <c r="B31" s="639">
        <v>45434</v>
      </c>
      <c r="C31" s="728" t="s">
        <v>306</v>
      </c>
      <c r="D31" s="728"/>
      <c r="E31" s="740">
        <v>12</v>
      </c>
      <c r="F31" s="640" t="s">
        <v>107</v>
      </c>
      <c r="G31" s="640"/>
      <c r="H31" s="642"/>
      <c r="I31" s="758"/>
      <c r="J31" s="643"/>
      <c r="K31" s="667">
        <v>7575</v>
      </c>
      <c r="L31" s="612">
        <f>'통장내역(환율표)'!$D$180</f>
        <v>7.2237000282193584</v>
      </c>
      <c r="M31" s="800">
        <f t="shared" si="5"/>
        <v>1048.6315835940431</v>
      </c>
      <c r="N31" s="759">
        <f t="shared" si="3"/>
        <v>384500.1999999999</v>
      </c>
      <c r="O31" s="760">
        <f t="shared" si="4"/>
        <v>53241.399861897451</v>
      </c>
      <c r="P31" s="761" t="s">
        <v>1276</v>
      </c>
      <c r="Q31" s="879"/>
      <c r="R31" s="887"/>
      <c r="S31" s="595">
        <f t="shared" si="6"/>
        <v>11726.396010370703</v>
      </c>
    </row>
    <row r="32" spans="1:19" ht="11.25" hidden="1" customHeight="1">
      <c r="B32" s="639">
        <v>45434</v>
      </c>
      <c r="C32" s="642" t="s">
        <v>445</v>
      </c>
      <c r="D32" s="728"/>
      <c r="E32" s="740">
        <v>17</v>
      </c>
      <c r="F32" s="640" t="s">
        <v>107</v>
      </c>
      <c r="G32" s="640"/>
      <c r="H32" s="642"/>
      <c r="I32" s="758"/>
      <c r="J32" s="643"/>
      <c r="K32" s="772">
        <v>3.6</v>
      </c>
      <c r="L32" s="612">
        <f>'통장내역(환율표)'!$D$180</f>
        <v>7.2237000282193584</v>
      </c>
      <c r="M32" s="800">
        <f t="shared" si="5"/>
        <v>0.49835956448033736</v>
      </c>
      <c r="N32" s="759">
        <f t="shared" si="3"/>
        <v>384496.59999999992</v>
      </c>
      <c r="O32" s="760">
        <f t="shared" si="4"/>
        <v>53240.90150233297</v>
      </c>
      <c r="P32" s="761" t="s">
        <v>1276</v>
      </c>
      <c r="Q32" s="879"/>
      <c r="R32" s="887"/>
      <c r="S32" s="595">
        <f t="shared" si="6"/>
        <v>11725.897650806222</v>
      </c>
    </row>
    <row r="33" spans="2:19" ht="11.25" hidden="1" customHeight="1">
      <c r="B33" s="639">
        <v>45434</v>
      </c>
      <c r="C33" s="728" t="s">
        <v>1008</v>
      </c>
      <c r="D33" s="728"/>
      <c r="E33" s="740">
        <v>13</v>
      </c>
      <c r="F33" s="640" t="s">
        <v>146</v>
      </c>
      <c r="G33" s="640" t="s">
        <v>147</v>
      </c>
      <c r="H33" s="642"/>
      <c r="I33" s="758"/>
      <c r="J33" s="643"/>
      <c r="K33" s="709">
        <v>3606</v>
      </c>
      <c r="L33" s="612">
        <f>'통장내역(환율표)'!$D$180</f>
        <v>7.2237000282193584</v>
      </c>
      <c r="M33" s="800">
        <f t="shared" si="5"/>
        <v>499.19016375447126</v>
      </c>
      <c r="N33" s="759">
        <f t="shared" si="3"/>
        <v>380890.59999999992</v>
      </c>
      <c r="O33" s="760">
        <f t="shared" si="4"/>
        <v>52741.711338578498</v>
      </c>
      <c r="P33" s="761" t="s">
        <v>1276</v>
      </c>
      <c r="Q33" s="879"/>
      <c r="R33" s="887"/>
      <c r="S33" s="595">
        <f t="shared" si="6"/>
        <v>11226.707487051752</v>
      </c>
    </row>
    <row r="34" spans="2:19" ht="11.25" hidden="1" customHeight="1">
      <c r="B34" s="639">
        <v>45434</v>
      </c>
      <c r="C34" s="728" t="s">
        <v>1007</v>
      </c>
      <c r="D34" s="728"/>
      <c r="E34" s="740">
        <v>14</v>
      </c>
      <c r="F34" s="640" t="s">
        <v>146</v>
      </c>
      <c r="G34" s="640" t="s">
        <v>147</v>
      </c>
      <c r="H34" s="642"/>
      <c r="I34" s="758"/>
      <c r="J34" s="643"/>
      <c r="K34" s="709">
        <v>438</v>
      </c>
      <c r="L34" s="612">
        <f>'통장내역(환율표)'!$D$180</f>
        <v>7.2237000282193584</v>
      </c>
      <c r="M34" s="800">
        <f t="shared" si="5"/>
        <v>60.633747011774375</v>
      </c>
      <c r="N34" s="759">
        <f t="shared" si="3"/>
        <v>380452.59999999992</v>
      </c>
      <c r="O34" s="760">
        <f t="shared" si="4"/>
        <v>52681.077591566725</v>
      </c>
      <c r="P34" s="761" t="s">
        <v>1276</v>
      </c>
      <c r="Q34" s="879"/>
      <c r="R34" s="887"/>
      <c r="S34" s="595">
        <f t="shared" si="6"/>
        <v>11166.073740039978</v>
      </c>
    </row>
    <row r="35" spans="2:19" ht="11.25" hidden="1" customHeight="1">
      <c r="B35" s="639">
        <v>45434</v>
      </c>
      <c r="C35" s="728" t="s">
        <v>1006</v>
      </c>
      <c r="D35" s="728"/>
      <c r="E35" s="740">
        <v>15</v>
      </c>
      <c r="F35" s="640" t="s">
        <v>146</v>
      </c>
      <c r="G35" s="640" t="s">
        <v>147</v>
      </c>
      <c r="H35" s="642"/>
      <c r="I35" s="758"/>
      <c r="J35" s="643"/>
      <c r="K35" s="923">
        <v>393.4</v>
      </c>
      <c r="L35" s="612">
        <f>'통장내역(환율표)'!$D$180</f>
        <v>7.2237000282193584</v>
      </c>
      <c r="M35" s="800">
        <f t="shared" si="5"/>
        <v>54.459625740712418</v>
      </c>
      <c r="N35" s="759">
        <f t="shared" si="3"/>
        <v>380059.1999999999</v>
      </c>
      <c r="O35" s="760">
        <f t="shared" si="4"/>
        <v>52626.617965826015</v>
      </c>
      <c r="P35" s="761" t="s">
        <v>1276</v>
      </c>
      <c r="Q35" s="879"/>
      <c r="R35" s="887"/>
      <c r="S35" s="595">
        <f t="shared" si="6"/>
        <v>11111.614114299266</v>
      </c>
    </row>
    <row r="36" spans="2:19" ht="11.25" hidden="1" customHeight="1">
      <c r="B36" s="639">
        <v>45434</v>
      </c>
      <c r="C36" s="728" t="s">
        <v>250</v>
      </c>
      <c r="D36" s="728"/>
      <c r="E36" s="740">
        <v>16</v>
      </c>
      <c r="F36" s="640" t="s">
        <v>107</v>
      </c>
      <c r="G36" s="640"/>
      <c r="H36" s="642"/>
      <c r="I36" s="758"/>
      <c r="J36" s="643"/>
      <c r="K36" s="709">
        <v>3.6</v>
      </c>
      <c r="L36" s="612">
        <f>'통장내역(환율표)'!$D$180</f>
        <v>7.2237000282193584</v>
      </c>
      <c r="M36" s="800">
        <f t="shared" si="5"/>
        <v>0.49835956448033736</v>
      </c>
      <c r="N36" s="759">
        <f t="shared" si="3"/>
        <v>380055.59999999992</v>
      </c>
      <c r="O36" s="760">
        <f t="shared" si="4"/>
        <v>52626.119606261534</v>
      </c>
      <c r="P36" s="761" t="s">
        <v>1276</v>
      </c>
      <c r="Q36" s="879"/>
      <c r="R36" s="887"/>
      <c r="S36" s="595">
        <f t="shared" si="6"/>
        <v>11111.115754734785</v>
      </c>
    </row>
    <row r="37" spans="2:19" ht="11.25" hidden="1" customHeight="1">
      <c r="B37" s="639">
        <v>45434</v>
      </c>
      <c r="C37" s="728" t="s">
        <v>1005</v>
      </c>
      <c r="D37" s="728"/>
      <c r="E37" s="740">
        <v>18</v>
      </c>
      <c r="F37" s="640" t="s">
        <v>146</v>
      </c>
      <c r="G37" s="640" t="s">
        <v>147</v>
      </c>
      <c r="H37" s="642"/>
      <c r="I37" s="758"/>
      <c r="J37" s="643"/>
      <c r="K37" s="709">
        <v>2188</v>
      </c>
      <c r="L37" s="612">
        <f>'통장내역(환율표)'!$D$180</f>
        <v>7.2237000282193584</v>
      </c>
      <c r="M37" s="800">
        <f t="shared" si="5"/>
        <v>302.89186863416057</v>
      </c>
      <c r="N37" s="759">
        <f t="shared" si="3"/>
        <v>377867.59999999992</v>
      </c>
      <c r="O37" s="760">
        <f t="shared" si="4"/>
        <v>52323.227737627371</v>
      </c>
      <c r="P37" s="761" t="s">
        <v>1276</v>
      </c>
      <c r="Q37" s="879"/>
      <c r="R37" s="887"/>
      <c r="S37" s="595">
        <f t="shared" si="6"/>
        <v>10808.223886100624</v>
      </c>
    </row>
    <row r="38" spans="2:19" ht="11.25" hidden="1" customHeight="1">
      <c r="B38" s="639">
        <v>45434</v>
      </c>
      <c r="C38" s="728" t="s">
        <v>1004</v>
      </c>
      <c r="D38" s="728"/>
      <c r="E38" s="740">
        <v>19</v>
      </c>
      <c r="F38" s="640" t="s">
        <v>146</v>
      </c>
      <c r="G38" s="640" t="s">
        <v>147</v>
      </c>
      <c r="H38" s="642"/>
      <c r="I38" s="758"/>
      <c r="J38" s="643"/>
      <c r="K38" s="709">
        <v>607</v>
      </c>
      <c r="L38" s="612">
        <f>'통장내역(환율표)'!$D$180</f>
        <v>7.2237000282193584</v>
      </c>
      <c r="M38" s="800">
        <f t="shared" si="5"/>
        <v>84.028959899879098</v>
      </c>
      <c r="N38" s="759">
        <f t="shared" si="3"/>
        <v>377260.59999999992</v>
      </c>
      <c r="O38" s="760">
        <f t="shared" si="4"/>
        <v>52239.198777727492</v>
      </c>
      <c r="P38" s="761" t="s">
        <v>1276</v>
      </c>
      <c r="Q38" s="879"/>
      <c r="R38" s="887"/>
      <c r="S38" s="595">
        <f t="shared" si="6"/>
        <v>10724.194926200746</v>
      </c>
    </row>
    <row r="39" spans="2:19" ht="11.25" hidden="1" customHeight="1">
      <c r="B39" s="639">
        <v>45434</v>
      </c>
      <c r="C39" s="728" t="s">
        <v>1003</v>
      </c>
      <c r="D39" s="728"/>
      <c r="E39" s="740">
        <v>20</v>
      </c>
      <c r="F39" s="640" t="s">
        <v>146</v>
      </c>
      <c r="G39" s="640" t="s">
        <v>147</v>
      </c>
      <c r="H39" s="642"/>
      <c r="I39" s="758"/>
      <c r="J39" s="643"/>
      <c r="K39" s="923">
        <v>116</v>
      </c>
      <c r="L39" s="612">
        <f>'통장내역(환율표)'!$D$180</f>
        <v>7.2237000282193584</v>
      </c>
      <c r="M39" s="800">
        <f t="shared" si="5"/>
        <v>16.058252633255314</v>
      </c>
      <c r="N39" s="759">
        <f t="shared" si="3"/>
        <v>377144.59999999992</v>
      </c>
      <c r="O39" s="760">
        <f t="shared" si="4"/>
        <v>52223.140525094233</v>
      </c>
      <c r="P39" s="761" t="s">
        <v>1276</v>
      </c>
      <c r="Q39" s="879"/>
      <c r="R39" s="887"/>
      <c r="S39" s="595">
        <f t="shared" si="6"/>
        <v>10708.136673567491</v>
      </c>
    </row>
    <row r="40" spans="2:19" ht="11.25" hidden="1" customHeight="1">
      <c r="B40" s="639">
        <v>45434</v>
      </c>
      <c r="C40" s="728" t="s">
        <v>250</v>
      </c>
      <c r="D40" s="728"/>
      <c r="E40" s="740">
        <v>21</v>
      </c>
      <c r="F40" s="640" t="s">
        <v>107</v>
      </c>
      <c r="G40" s="640"/>
      <c r="H40" s="642"/>
      <c r="I40" s="758"/>
      <c r="J40" s="643"/>
      <c r="K40" s="709">
        <v>3.6</v>
      </c>
      <c r="L40" s="612">
        <f>'통장내역(환율표)'!$D$180</f>
        <v>7.2237000282193584</v>
      </c>
      <c r="M40" s="800">
        <f t="shared" si="5"/>
        <v>0.49835956448033736</v>
      </c>
      <c r="N40" s="759">
        <f t="shared" si="3"/>
        <v>377140.99999999994</v>
      </c>
      <c r="O40" s="760">
        <f t="shared" si="4"/>
        <v>52222.642165529753</v>
      </c>
      <c r="P40" s="761" t="s">
        <v>1276</v>
      </c>
      <c r="Q40" s="879"/>
      <c r="R40" s="887"/>
      <c r="S40" s="595">
        <f t="shared" si="6"/>
        <v>10707.63831400301</v>
      </c>
    </row>
    <row r="41" spans="2:19" ht="11.25" hidden="1" customHeight="1">
      <c r="B41" s="639">
        <v>45434</v>
      </c>
      <c r="C41" s="728" t="s">
        <v>853</v>
      </c>
      <c r="D41" s="728"/>
      <c r="E41" s="740">
        <v>22</v>
      </c>
      <c r="F41" s="640" t="s">
        <v>146</v>
      </c>
      <c r="G41" s="640" t="s">
        <v>147</v>
      </c>
      <c r="H41" s="642"/>
      <c r="I41" s="758"/>
      <c r="J41" s="643"/>
      <c r="K41" s="709">
        <v>946.65</v>
      </c>
      <c r="L41" s="612">
        <f>'통장내역(환율표)'!$D$180</f>
        <v>7.2237000282193584</v>
      </c>
      <c r="M41" s="800">
        <f t="shared" si="5"/>
        <v>131.04780047647537</v>
      </c>
      <c r="N41" s="759">
        <f t="shared" si="3"/>
        <v>376194.34999999992</v>
      </c>
      <c r="O41" s="760">
        <f t="shared" si="4"/>
        <v>52091.594365053279</v>
      </c>
      <c r="P41" s="761" t="s">
        <v>1276</v>
      </c>
      <c r="Q41" s="879"/>
      <c r="R41" s="887"/>
      <c r="S41" s="595">
        <f t="shared" si="6"/>
        <v>10576.590513526535</v>
      </c>
    </row>
    <row r="42" spans="2:19" ht="11.25" hidden="1" customHeight="1">
      <c r="B42" s="639">
        <v>45434</v>
      </c>
      <c r="C42" s="728" t="s">
        <v>851</v>
      </c>
      <c r="D42" s="728"/>
      <c r="E42" s="740">
        <v>23</v>
      </c>
      <c r="F42" s="640" t="s">
        <v>116</v>
      </c>
      <c r="G42" s="640" t="s">
        <v>140</v>
      </c>
      <c r="H42" s="642"/>
      <c r="I42" s="758"/>
      <c r="J42" s="643"/>
      <c r="K42" s="709">
        <v>99.3</v>
      </c>
      <c r="L42" s="612">
        <f>'통장내역(환율표)'!$D$180</f>
        <v>7.2237000282193584</v>
      </c>
      <c r="M42" s="800">
        <f t="shared" si="5"/>
        <v>13.74641798691597</v>
      </c>
      <c r="N42" s="759">
        <f t="shared" si="3"/>
        <v>376095.04999999993</v>
      </c>
      <c r="O42" s="760">
        <f t="shared" si="4"/>
        <v>52077.847947066366</v>
      </c>
      <c r="P42" s="761" t="s">
        <v>1276</v>
      </c>
      <c r="Q42" s="879"/>
      <c r="R42" s="887"/>
      <c r="S42" s="595">
        <f t="shared" si="6"/>
        <v>10562.844095539618</v>
      </c>
    </row>
    <row r="43" spans="2:19" ht="11.25" hidden="1" customHeight="1">
      <c r="B43" s="639">
        <v>45434</v>
      </c>
      <c r="C43" s="728" t="s">
        <v>250</v>
      </c>
      <c r="D43" s="728"/>
      <c r="E43" s="740">
        <v>24</v>
      </c>
      <c r="F43" s="640" t="s">
        <v>107</v>
      </c>
      <c r="G43" s="640"/>
      <c r="H43" s="642"/>
      <c r="I43" s="758"/>
      <c r="J43" s="643"/>
      <c r="K43" s="709">
        <v>3.6</v>
      </c>
      <c r="L43" s="612">
        <f>'통장내역(환율표)'!$D$180</f>
        <v>7.2237000282193584</v>
      </c>
      <c r="M43" s="800">
        <f t="shared" si="5"/>
        <v>0.49835956448033736</v>
      </c>
      <c r="N43" s="759">
        <f t="shared" si="3"/>
        <v>376091.44999999995</v>
      </c>
      <c r="O43" s="760">
        <f t="shared" si="4"/>
        <v>52077.349587501885</v>
      </c>
      <c r="P43" s="761" t="s">
        <v>1276</v>
      </c>
      <c r="Q43" s="879"/>
      <c r="R43" s="887"/>
      <c r="S43" s="595">
        <f t="shared" si="6"/>
        <v>10562.345735975137</v>
      </c>
    </row>
    <row r="44" spans="2:19" ht="11.25" hidden="1" customHeight="1">
      <c r="B44" s="639">
        <v>45434</v>
      </c>
      <c r="C44" s="728" t="s">
        <v>1098</v>
      </c>
      <c r="D44" s="728"/>
      <c r="E44" s="740">
        <v>25</v>
      </c>
      <c r="F44" s="640" t="s">
        <v>146</v>
      </c>
      <c r="G44" s="640" t="s">
        <v>147</v>
      </c>
      <c r="H44" s="642"/>
      <c r="I44" s="758"/>
      <c r="J44" s="643"/>
      <c r="K44" s="709">
        <v>3953</v>
      </c>
      <c r="L44" s="612">
        <f>'통장내역(환율표)'!$D$180</f>
        <v>7.2237000282193584</v>
      </c>
      <c r="M44" s="800">
        <f t="shared" si="5"/>
        <v>547.22648844188154</v>
      </c>
      <c r="N44" s="759">
        <f t="shared" si="3"/>
        <v>372138.44999999995</v>
      </c>
      <c r="O44" s="760">
        <f t="shared" si="4"/>
        <v>51530.123099060002</v>
      </c>
      <c r="P44" s="761" t="s">
        <v>1276</v>
      </c>
      <c r="Q44" s="879"/>
      <c r="R44" s="887"/>
      <c r="S44" s="595">
        <f t="shared" si="6"/>
        <v>10015.119247533255</v>
      </c>
    </row>
    <row r="45" spans="2:19" ht="11.25" hidden="1" customHeight="1">
      <c r="B45" s="639">
        <v>45434</v>
      </c>
      <c r="C45" s="728" t="s">
        <v>1099</v>
      </c>
      <c r="D45" s="728"/>
      <c r="E45" s="740">
        <v>26</v>
      </c>
      <c r="F45" s="640" t="s">
        <v>146</v>
      </c>
      <c r="G45" s="640" t="s">
        <v>147</v>
      </c>
      <c r="H45" s="642"/>
      <c r="I45" s="758"/>
      <c r="J45" s="643"/>
      <c r="K45" s="709">
        <v>939.08</v>
      </c>
      <c r="L45" s="612">
        <f>'통장내역(환율표)'!$D$180</f>
        <v>7.2237000282193584</v>
      </c>
      <c r="M45" s="800">
        <f t="shared" si="5"/>
        <v>129.99986105894311</v>
      </c>
      <c r="N45" s="759">
        <f t="shared" si="3"/>
        <v>371199.36999999994</v>
      </c>
      <c r="O45" s="760">
        <f t="shared" si="4"/>
        <v>51400.123238001055</v>
      </c>
      <c r="P45" s="761" t="s">
        <v>1276</v>
      </c>
      <c r="Q45" s="879"/>
      <c r="R45" s="887"/>
      <c r="S45" s="595">
        <f t="shared" si="6"/>
        <v>9885.1193864743127</v>
      </c>
    </row>
    <row r="46" spans="2:19" ht="11.25" hidden="1" customHeight="1">
      <c r="B46" s="639">
        <v>45434</v>
      </c>
      <c r="C46" s="728" t="s">
        <v>1020</v>
      </c>
      <c r="D46" s="741"/>
      <c r="E46" s="740">
        <v>27</v>
      </c>
      <c r="F46" s="640" t="s">
        <v>116</v>
      </c>
      <c r="G46" s="640" t="s">
        <v>140</v>
      </c>
      <c r="H46" s="642"/>
      <c r="I46" s="641"/>
      <c r="J46" s="643"/>
      <c r="K46" s="709">
        <v>285.7</v>
      </c>
      <c r="L46" s="612">
        <f>'통장내역(환율표)'!$D$180</f>
        <v>7.2237000282193584</v>
      </c>
      <c r="M46" s="800">
        <f t="shared" si="5"/>
        <v>39.550368770008994</v>
      </c>
      <c r="N46" s="759">
        <f t="shared" si="3"/>
        <v>370913.66999999993</v>
      </c>
      <c r="O46" s="760">
        <f t="shared" si="4"/>
        <v>51360.572869231044</v>
      </c>
      <c r="P46" s="761" t="s">
        <v>1276</v>
      </c>
      <c r="Q46" s="881"/>
      <c r="R46" s="887"/>
      <c r="S46" s="595">
        <f t="shared" si="6"/>
        <v>9845.5690177043034</v>
      </c>
    </row>
    <row r="47" spans="2:19" ht="11.25" hidden="1" customHeight="1">
      <c r="B47" s="639">
        <v>45434</v>
      </c>
      <c r="C47" s="728" t="s">
        <v>1016</v>
      </c>
      <c r="D47" s="642"/>
      <c r="E47" s="740">
        <v>28</v>
      </c>
      <c r="F47" s="640" t="s">
        <v>107</v>
      </c>
      <c r="G47" s="640"/>
      <c r="H47" s="642"/>
      <c r="I47" s="641"/>
      <c r="J47" s="643"/>
      <c r="K47" s="772">
        <v>100</v>
      </c>
      <c r="L47" s="612">
        <f>'통장내역(환율표)'!$D$180</f>
        <v>7.2237000282193584</v>
      </c>
      <c r="M47" s="800">
        <f t="shared" si="5"/>
        <v>13.843321235564925</v>
      </c>
      <c r="N47" s="759">
        <f t="shared" si="3"/>
        <v>370813.66999999993</v>
      </c>
      <c r="O47" s="760">
        <f t="shared" si="4"/>
        <v>51346.729547995477</v>
      </c>
      <c r="P47" s="761" t="s">
        <v>1276</v>
      </c>
      <c r="Q47" s="881"/>
      <c r="R47" s="887"/>
      <c r="S47" s="595">
        <f t="shared" si="6"/>
        <v>9831.7256964687385</v>
      </c>
    </row>
    <row r="48" spans="2:19" ht="11.25" hidden="1" customHeight="1">
      <c r="B48" s="639">
        <v>45434</v>
      </c>
      <c r="C48" s="728" t="s">
        <v>250</v>
      </c>
      <c r="D48" s="741"/>
      <c r="E48" s="740">
        <v>29</v>
      </c>
      <c r="F48" s="640" t="s">
        <v>107</v>
      </c>
      <c r="G48" s="640"/>
      <c r="H48" s="642"/>
      <c r="I48" s="641"/>
      <c r="J48" s="643"/>
      <c r="K48" s="772">
        <v>3.6</v>
      </c>
      <c r="L48" s="612">
        <f>'통장내역(환율표)'!$D$180</f>
        <v>7.2237000282193584</v>
      </c>
      <c r="M48" s="800">
        <f t="shared" si="5"/>
        <v>0.49835956448033736</v>
      </c>
      <c r="N48" s="759">
        <f t="shared" si="3"/>
        <v>370810.06999999995</v>
      </c>
      <c r="O48" s="760">
        <f t="shared" si="4"/>
        <v>51346.231188430997</v>
      </c>
      <c r="P48" s="761" t="s">
        <v>1276</v>
      </c>
      <c r="Q48" s="881"/>
      <c r="R48" s="887"/>
      <c r="S48" s="595">
        <f t="shared" si="6"/>
        <v>9831.2273369042578</v>
      </c>
    </row>
    <row r="49" spans="2:19" ht="11.25" hidden="1" customHeight="1">
      <c r="B49" s="639">
        <v>45434</v>
      </c>
      <c r="C49" s="642" t="s">
        <v>1163</v>
      </c>
      <c r="D49" s="728"/>
      <c r="E49" s="740">
        <v>30</v>
      </c>
      <c r="F49" s="640" t="s">
        <v>146</v>
      </c>
      <c r="G49" s="640" t="s">
        <v>147</v>
      </c>
      <c r="H49" s="642"/>
      <c r="I49" s="758"/>
      <c r="J49" s="643"/>
      <c r="K49" s="709">
        <v>2395</v>
      </c>
      <c r="L49" s="612">
        <f>'통장내역(환율표)'!$D$180</f>
        <v>7.2237000282193584</v>
      </c>
      <c r="M49" s="800">
        <f t="shared" si="5"/>
        <v>331.54754359177997</v>
      </c>
      <c r="N49" s="759">
        <f t="shared" si="3"/>
        <v>368415.06999999995</v>
      </c>
      <c r="O49" s="760">
        <f t="shared" si="4"/>
        <v>51014.683644839213</v>
      </c>
      <c r="P49" s="761" t="s">
        <v>1276</v>
      </c>
      <c r="Q49" s="879"/>
      <c r="R49" s="887"/>
      <c r="S49" s="595">
        <f t="shared" si="6"/>
        <v>9499.6797933124781</v>
      </c>
    </row>
    <row r="50" spans="2:19" ht="11.25" hidden="1" customHeight="1">
      <c r="B50" s="639">
        <v>45434</v>
      </c>
      <c r="C50" s="642" t="s">
        <v>1160</v>
      </c>
      <c r="D50" s="728"/>
      <c r="E50" s="740">
        <v>31</v>
      </c>
      <c r="F50" s="640" t="s">
        <v>125</v>
      </c>
      <c r="G50" s="640" t="s">
        <v>145</v>
      </c>
      <c r="H50" s="642"/>
      <c r="I50" s="758"/>
      <c r="J50" s="709"/>
      <c r="K50" s="709">
        <v>8095.05</v>
      </c>
      <c r="L50" s="612">
        <f>'통장내역(환율표)'!$D$180</f>
        <v>7.2237000282193584</v>
      </c>
      <c r="M50" s="800">
        <f t="shared" si="5"/>
        <v>1120.6237756795986</v>
      </c>
      <c r="N50" s="759">
        <f t="shared" si="3"/>
        <v>360320.01999999996</v>
      </c>
      <c r="O50" s="760">
        <f t="shared" si="4"/>
        <v>49894.059869159617</v>
      </c>
      <c r="P50" s="761" t="s">
        <v>1276</v>
      </c>
      <c r="Q50" s="879"/>
      <c r="R50" s="887"/>
      <c r="S50" s="595">
        <f t="shared" si="6"/>
        <v>8379.05601763288</v>
      </c>
    </row>
    <row r="51" spans="2:19" ht="11.25" hidden="1" customHeight="1">
      <c r="B51" s="639">
        <v>45434</v>
      </c>
      <c r="C51" s="728" t="s">
        <v>1164</v>
      </c>
      <c r="D51" s="741"/>
      <c r="E51" s="740">
        <v>32</v>
      </c>
      <c r="F51" s="640" t="s">
        <v>146</v>
      </c>
      <c r="G51" s="640" t="s">
        <v>147</v>
      </c>
      <c r="H51" s="642"/>
      <c r="I51" s="641"/>
      <c r="J51" s="643"/>
      <c r="K51" s="709">
        <v>262.76</v>
      </c>
      <c r="L51" s="612">
        <f>'통장내역(환율표)'!$D$180</f>
        <v>7.2237000282193584</v>
      </c>
      <c r="M51" s="800">
        <f t="shared" si="5"/>
        <v>36.374710878570397</v>
      </c>
      <c r="N51" s="759">
        <f t="shared" ref="N51:N82" si="7">N50+H51-K51</f>
        <v>360057.25999999995</v>
      </c>
      <c r="O51" s="760">
        <f t="shared" ref="O51:O82" si="8">O50+J51-M51</f>
        <v>49857.685158281049</v>
      </c>
      <c r="P51" s="761" t="s">
        <v>1276</v>
      </c>
      <c r="Q51" s="881"/>
      <c r="R51" s="887"/>
      <c r="S51" s="595">
        <f t="shared" si="6"/>
        <v>8342.6813067543098</v>
      </c>
    </row>
    <row r="52" spans="2:19" ht="11.25" hidden="1" customHeight="1">
      <c r="B52" s="639">
        <v>45434</v>
      </c>
      <c r="C52" s="642" t="s">
        <v>1261</v>
      </c>
      <c r="D52" s="642"/>
      <c r="E52" s="740">
        <v>33</v>
      </c>
      <c r="F52" s="640" t="s">
        <v>116</v>
      </c>
      <c r="G52" s="640" t="s">
        <v>140</v>
      </c>
      <c r="H52" s="642"/>
      <c r="I52" s="641"/>
      <c r="J52" s="643"/>
      <c r="K52" s="772">
        <v>299.3</v>
      </c>
      <c r="L52" s="612">
        <f>'통장내역(환율표)'!$D$180</f>
        <v>7.2237000282193584</v>
      </c>
      <c r="M52" s="800">
        <f t="shared" si="5"/>
        <v>41.433060458045823</v>
      </c>
      <c r="N52" s="759">
        <f t="shared" si="7"/>
        <v>359757.95999999996</v>
      </c>
      <c r="O52" s="760">
        <f t="shared" si="8"/>
        <v>49816.252097823002</v>
      </c>
      <c r="P52" s="761" t="s">
        <v>1276</v>
      </c>
      <c r="Q52" s="881"/>
      <c r="R52" s="887"/>
      <c r="S52" s="595">
        <f t="shared" si="6"/>
        <v>8301.2482462962635</v>
      </c>
    </row>
    <row r="53" spans="2:19" ht="11.25" hidden="1" customHeight="1">
      <c r="B53" s="639">
        <v>45434</v>
      </c>
      <c r="C53" s="728" t="s">
        <v>250</v>
      </c>
      <c r="D53" s="741"/>
      <c r="E53" s="740">
        <v>34</v>
      </c>
      <c r="F53" s="640" t="s">
        <v>107</v>
      </c>
      <c r="G53" s="640"/>
      <c r="H53" s="642"/>
      <c r="I53" s="641"/>
      <c r="J53" s="643"/>
      <c r="K53" s="772">
        <v>7.2</v>
      </c>
      <c r="L53" s="612">
        <f>'통장내역(환율표)'!$D$180</f>
        <v>7.2237000282193584</v>
      </c>
      <c r="M53" s="800">
        <f t="shared" si="5"/>
        <v>0.99671912896067472</v>
      </c>
      <c r="N53" s="759">
        <f t="shared" si="7"/>
        <v>359750.75999999995</v>
      </c>
      <c r="O53" s="760">
        <f t="shared" si="8"/>
        <v>49815.255378694041</v>
      </c>
      <c r="P53" s="761" t="s">
        <v>1276</v>
      </c>
      <c r="Q53" s="881"/>
      <c r="R53" s="887"/>
      <c r="S53" s="595">
        <f t="shared" si="6"/>
        <v>8300.2515271673019</v>
      </c>
    </row>
    <row r="54" spans="2:19" ht="11.25" hidden="1" customHeight="1">
      <c r="B54" s="639">
        <v>45434</v>
      </c>
      <c r="C54" s="728" t="s">
        <v>1174</v>
      </c>
      <c r="D54" s="741"/>
      <c r="E54" s="740">
        <v>35</v>
      </c>
      <c r="F54" s="640" t="s">
        <v>125</v>
      </c>
      <c r="G54" s="640" t="s">
        <v>145</v>
      </c>
      <c r="H54" s="642"/>
      <c r="I54" s="641"/>
      <c r="J54" s="643"/>
      <c r="K54" s="709">
        <v>10142</v>
      </c>
      <c r="L54" s="612">
        <f>'통장내역(환율표)'!$D$180</f>
        <v>7.2237000282193584</v>
      </c>
      <c r="M54" s="800">
        <f t="shared" si="5"/>
        <v>1403.9896397109949</v>
      </c>
      <c r="N54" s="759">
        <f t="shared" si="7"/>
        <v>349608.75999999995</v>
      </c>
      <c r="O54" s="760">
        <f t="shared" si="8"/>
        <v>48411.265738983049</v>
      </c>
      <c r="P54" s="761" t="s">
        <v>1276</v>
      </c>
      <c r="Q54" s="881"/>
      <c r="R54" s="887"/>
      <c r="S54" s="595">
        <f t="shared" si="6"/>
        <v>6896.2618874563068</v>
      </c>
    </row>
    <row r="55" spans="2:19" ht="11.25" hidden="1" customHeight="1">
      <c r="B55" s="639">
        <v>45434</v>
      </c>
      <c r="C55" s="728" t="s">
        <v>1178</v>
      </c>
      <c r="D55" s="642"/>
      <c r="E55" s="740">
        <v>36</v>
      </c>
      <c r="F55" s="640" t="s">
        <v>146</v>
      </c>
      <c r="G55" s="640" t="s">
        <v>147</v>
      </c>
      <c r="H55" s="642"/>
      <c r="I55" s="641"/>
      <c r="J55" s="643"/>
      <c r="K55" s="772">
        <v>11055.18</v>
      </c>
      <c r="L55" s="612">
        <f>'통장내역(환율표)'!$D$180</f>
        <v>7.2237000282193584</v>
      </c>
      <c r="M55" s="800">
        <f t="shared" si="5"/>
        <v>1530.4040805699267</v>
      </c>
      <c r="N55" s="759">
        <f t="shared" si="7"/>
        <v>338553.57999999996</v>
      </c>
      <c r="O55" s="760">
        <f t="shared" si="8"/>
        <v>46880.861658413123</v>
      </c>
      <c r="P55" s="761" t="s">
        <v>1276</v>
      </c>
      <c r="Q55" s="881"/>
      <c r="R55" s="887"/>
      <c r="S55" s="595">
        <f t="shared" si="6"/>
        <v>5365.8578068863799</v>
      </c>
    </row>
    <row r="56" spans="2:19" ht="11.25" hidden="1" customHeight="1">
      <c r="B56" s="639">
        <v>45434</v>
      </c>
      <c r="C56" s="728" t="s">
        <v>1175</v>
      </c>
      <c r="D56" s="741"/>
      <c r="E56" s="740">
        <v>37</v>
      </c>
      <c r="F56" s="640" t="s">
        <v>116</v>
      </c>
      <c r="G56" s="640" t="s">
        <v>140</v>
      </c>
      <c r="H56" s="642"/>
      <c r="I56" s="641"/>
      <c r="J56" s="643"/>
      <c r="K56" s="772">
        <v>500</v>
      </c>
      <c r="L56" s="612">
        <f>'통장내역(환율표)'!$D$180</f>
        <v>7.2237000282193584</v>
      </c>
      <c r="M56" s="800">
        <f t="shared" si="5"/>
        <v>69.21660617782463</v>
      </c>
      <c r="N56" s="759">
        <f t="shared" si="7"/>
        <v>338053.57999999996</v>
      </c>
      <c r="O56" s="760">
        <f t="shared" si="8"/>
        <v>46811.645052235297</v>
      </c>
      <c r="P56" s="761" t="s">
        <v>1276</v>
      </c>
      <c r="Q56" s="881"/>
      <c r="R56" s="887"/>
      <c r="S56" s="595">
        <f t="shared" si="6"/>
        <v>5296.6412007085555</v>
      </c>
    </row>
    <row r="57" spans="2:19" ht="11.25" hidden="1" customHeight="1">
      <c r="B57" s="639">
        <v>45434</v>
      </c>
      <c r="C57" s="728" t="s">
        <v>250</v>
      </c>
      <c r="D57" s="741"/>
      <c r="E57" s="740">
        <v>38</v>
      </c>
      <c r="F57" s="640" t="s">
        <v>107</v>
      </c>
      <c r="G57" s="640"/>
      <c r="H57" s="642"/>
      <c r="I57" s="641"/>
      <c r="J57" s="643"/>
      <c r="K57" s="709">
        <v>7.2</v>
      </c>
      <c r="L57" s="612">
        <f>'통장내역(환율표)'!$D$180</f>
        <v>7.2237000282193584</v>
      </c>
      <c r="M57" s="800">
        <f t="shared" si="5"/>
        <v>0.99671912896067472</v>
      </c>
      <c r="N57" s="759">
        <f t="shared" si="7"/>
        <v>338046.37999999995</v>
      </c>
      <c r="O57" s="760">
        <f t="shared" si="8"/>
        <v>46810.648333106335</v>
      </c>
      <c r="P57" s="761" t="s">
        <v>1276</v>
      </c>
      <c r="Q57" s="881"/>
      <c r="R57" s="887"/>
      <c r="S57" s="595">
        <f t="shared" si="6"/>
        <v>5295.6444815795949</v>
      </c>
    </row>
    <row r="58" spans="2:19" ht="11.25" hidden="1" customHeight="1">
      <c r="B58" s="639">
        <v>45434</v>
      </c>
      <c r="C58" s="728" t="s">
        <v>1107</v>
      </c>
      <c r="D58" s="642"/>
      <c r="E58" s="740">
        <v>39</v>
      </c>
      <c r="F58" s="640" t="s">
        <v>146</v>
      </c>
      <c r="G58" s="640" t="s">
        <v>147</v>
      </c>
      <c r="H58" s="642"/>
      <c r="I58" s="641"/>
      <c r="J58" s="643"/>
      <c r="K58" s="772">
        <v>7859.14</v>
      </c>
      <c r="L58" s="612">
        <f>'통장내역(환율표)'!$D$180</f>
        <v>7.2237000282193584</v>
      </c>
      <c r="M58" s="800">
        <f t="shared" si="5"/>
        <v>1087.9659965527774</v>
      </c>
      <c r="N58" s="759">
        <f t="shared" si="7"/>
        <v>330187.23999999993</v>
      </c>
      <c r="O58" s="760">
        <f t="shared" si="8"/>
        <v>45722.68233655356</v>
      </c>
      <c r="P58" s="761" t="s">
        <v>1276</v>
      </c>
      <c r="Q58" s="881"/>
      <c r="R58" s="887"/>
      <c r="S58" s="595">
        <f t="shared" si="6"/>
        <v>4207.6784850268177</v>
      </c>
    </row>
    <row r="59" spans="2:19" ht="11.25" hidden="1" customHeight="1">
      <c r="B59" s="639">
        <v>45434</v>
      </c>
      <c r="C59" s="728" t="s">
        <v>845</v>
      </c>
      <c r="D59" s="741"/>
      <c r="E59" s="740">
        <v>40</v>
      </c>
      <c r="F59" s="640" t="s">
        <v>125</v>
      </c>
      <c r="G59" s="640" t="s">
        <v>145</v>
      </c>
      <c r="H59" s="642"/>
      <c r="I59" s="641"/>
      <c r="J59" s="643"/>
      <c r="K59" s="772">
        <v>8121.55</v>
      </c>
      <c r="L59" s="612">
        <f>'통장내역(환율표)'!$D$180</f>
        <v>7.2237000282193584</v>
      </c>
      <c r="M59" s="800">
        <f t="shared" si="5"/>
        <v>1124.2922558070234</v>
      </c>
      <c r="N59" s="759">
        <f t="shared" si="7"/>
        <v>322065.68999999994</v>
      </c>
      <c r="O59" s="760">
        <f t="shared" si="8"/>
        <v>44598.39008074654</v>
      </c>
      <c r="P59" s="761" t="s">
        <v>1276</v>
      </c>
      <c r="Q59" s="881"/>
      <c r="R59" s="887"/>
      <c r="S59" s="595">
        <f t="shared" si="6"/>
        <v>3083.3862292197946</v>
      </c>
    </row>
    <row r="60" spans="2:19" ht="11.25" hidden="1" customHeight="1">
      <c r="B60" s="639">
        <v>45434</v>
      </c>
      <c r="C60" s="728" t="s">
        <v>1109</v>
      </c>
      <c r="D60" s="741"/>
      <c r="E60" s="740">
        <v>41</v>
      </c>
      <c r="F60" s="640" t="s">
        <v>116</v>
      </c>
      <c r="G60" s="640" t="s">
        <v>140</v>
      </c>
      <c r="H60" s="642"/>
      <c r="I60" s="641"/>
      <c r="J60" s="643"/>
      <c r="K60" s="709">
        <v>417.4</v>
      </c>
      <c r="L60" s="612">
        <f>'통장내역(환율표)'!$D$180</f>
        <v>7.2237000282193584</v>
      </c>
      <c r="M60" s="800">
        <f t="shared" si="5"/>
        <v>57.782022837248</v>
      </c>
      <c r="N60" s="759">
        <f t="shared" si="7"/>
        <v>321648.28999999992</v>
      </c>
      <c r="O60" s="760">
        <f t="shared" si="8"/>
        <v>44540.608057909289</v>
      </c>
      <c r="P60" s="761" t="s">
        <v>1276</v>
      </c>
      <c r="Q60" s="881"/>
      <c r="R60" s="887"/>
      <c r="S60" s="595">
        <f t="shared" si="6"/>
        <v>3025.6042063825466</v>
      </c>
    </row>
    <row r="61" spans="2:19" ht="11.25" hidden="1" customHeight="1">
      <c r="B61" s="639">
        <v>45434</v>
      </c>
      <c r="C61" s="728" t="s">
        <v>854</v>
      </c>
      <c r="D61" s="642"/>
      <c r="E61" s="740">
        <v>42</v>
      </c>
      <c r="F61" s="640" t="s">
        <v>116</v>
      </c>
      <c r="G61" s="640" t="s">
        <v>140</v>
      </c>
      <c r="H61" s="642"/>
      <c r="I61" s="641"/>
      <c r="J61" s="643"/>
      <c r="K61" s="772">
        <v>499</v>
      </c>
      <c r="L61" s="612">
        <f>'통장내역(환율표)'!$D$180</f>
        <v>7.2237000282193584</v>
      </c>
      <c r="M61" s="800">
        <f t="shared" si="5"/>
        <v>69.07817296546898</v>
      </c>
      <c r="N61" s="759">
        <f t="shared" si="7"/>
        <v>321149.28999999992</v>
      </c>
      <c r="O61" s="760">
        <f t="shared" si="8"/>
        <v>44471.529884943819</v>
      </c>
      <c r="P61" s="761" t="s">
        <v>1276</v>
      </c>
      <c r="Q61" s="881"/>
      <c r="R61" s="887"/>
      <c r="S61" s="595">
        <f t="shared" si="6"/>
        <v>2956.5260334170775</v>
      </c>
    </row>
    <row r="62" spans="2:19" ht="11.25" hidden="1" customHeight="1">
      <c r="B62" s="639">
        <v>45434</v>
      </c>
      <c r="C62" s="728" t="s">
        <v>1265</v>
      </c>
      <c r="D62" s="741"/>
      <c r="E62" s="740">
        <v>43</v>
      </c>
      <c r="F62" s="640" t="s">
        <v>107</v>
      </c>
      <c r="G62" s="640"/>
      <c r="H62" s="642"/>
      <c r="I62" s="641"/>
      <c r="J62" s="643"/>
      <c r="K62" s="772">
        <v>223.32</v>
      </c>
      <c r="L62" s="612">
        <f>'통장내역(환율표)'!$D$180</f>
        <v>7.2237000282193584</v>
      </c>
      <c r="M62" s="800">
        <f t="shared" si="5"/>
        <v>30.914904983263593</v>
      </c>
      <c r="N62" s="759">
        <f t="shared" si="7"/>
        <v>320925.96999999991</v>
      </c>
      <c r="O62" s="760">
        <f t="shared" si="8"/>
        <v>44440.614979960556</v>
      </c>
      <c r="P62" s="761" t="s">
        <v>1276</v>
      </c>
      <c r="Q62" s="881"/>
      <c r="R62" s="887"/>
      <c r="S62" s="595">
        <f t="shared" si="6"/>
        <v>2925.611128433814</v>
      </c>
    </row>
    <row r="63" spans="2:19" ht="11.25" hidden="1" customHeight="1">
      <c r="B63" s="639">
        <v>45434</v>
      </c>
      <c r="C63" s="728" t="s">
        <v>844</v>
      </c>
      <c r="D63" s="741"/>
      <c r="E63" s="740">
        <v>44</v>
      </c>
      <c r="F63" s="640" t="s">
        <v>146</v>
      </c>
      <c r="G63" s="640" t="s">
        <v>147</v>
      </c>
      <c r="H63" s="642"/>
      <c r="I63" s="641"/>
      <c r="J63" s="643"/>
      <c r="K63" s="709">
        <v>55.48</v>
      </c>
      <c r="L63" s="612">
        <f>'통장내역(환율표)'!$D$180</f>
        <v>7.2237000282193584</v>
      </c>
      <c r="M63" s="800">
        <f t="shared" si="5"/>
        <v>7.6802746214914208</v>
      </c>
      <c r="N63" s="759">
        <f t="shared" si="7"/>
        <v>320870.48999999993</v>
      </c>
      <c r="O63" s="760">
        <f t="shared" si="8"/>
        <v>44432.934705339067</v>
      </c>
      <c r="P63" s="761" t="s">
        <v>1276</v>
      </c>
      <c r="Q63" s="881"/>
      <c r="R63" s="887"/>
      <c r="S63" s="595">
        <f t="shared" si="6"/>
        <v>2917.9308538123228</v>
      </c>
    </row>
    <row r="64" spans="2:19" ht="11.25" hidden="1" customHeight="1">
      <c r="B64" s="639">
        <v>45434</v>
      </c>
      <c r="C64" s="728" t="s">
        <v>250</v>
      </c>
      <c r="D64" s="642"/>
      <c r="E64" s="740">
        <v>45</v>
      </c>
      <c r="F64" s="640" t="s">
        <v>107</v>
      </c>
      <c r="G64" s="640"/>
      <c r="H64" s="642"/>
      <c r="I64" s="641"/>
      <c r="J64" s="643"/>
      <c r="K64" s="772">
        <v>7.2</v>
      </c>
      <c r="L64" s="612">
        <f>'통장내역(환율표)'!$D$180</f>
        <v>7.2237000282193584</v>
      </c>
      <c r="M64" s="800">
        <f t="shared" si="5"/>
        <v>0.99671912896067472</v>
      </c>
      <c r="N64" s="759">
        <f t="shared" si="7"/>
        <v>320863.28999999992</v>
      </c>
      <c r="O64" s="760">
        <f t="shared" si="8"/>
        <v>44431.937986210105</v>
      </c>
      <c r="P64" s="761" t="s">
        <v>1276</v>
      </c>
      <c r="Q64" s="881"/>
      <c r="R64" s="887"/>
      <c r="S64" s="595">
        <f t="shared" si="6"/>
        <v>2916.9341346833621</v>
      </c>
    </row>
    <row r="65" spans="2:19" ht="11.25" hidden="1" customHeight="1">
      <c r="B65" s="639">
        <v>45434</v>
      </c>
      <c r="C65" s="728" t="s">
        <v>1291</v>
      </c>
      <c r="D65" s="741"/>
      <c r="E65" s="740">
        <v>46</v>
      </c>
      <c r="F65" s="640" t="s">
        <v>146</v>
      </c>
      <c r="G65" s="640" t="s">
        <v>147</v>
      </c>
      <c r="H65" s="642"/>
      <c r="I65" s="641"/>
      <c r="J65" s="643"/>
      <c r="K65" s="772">
        <v>1600</v>
      </c>
      <c r="L65" s="612">
        <f>'통장내역(환율표)'!$D$180</f>
        <v>7.2237000282193584</v>
      </c>
      <c r="M65" s="800">
        <f t="shared" si="5"/>
        <v>221.49313976903881</v>
      </c>
      <c r="N65" s="759">
        <f t="shared" si="7"/>
        <v>319263.28999999992</v>
      </c>
      <c r="O65" s="760">
        <f t="shared" si="8"/>
        <v>44210.444846441067</v>
      </c>
      <c r="P65" s="761" t="s">
        <v>1276</v>
      </c>
      <c r="Q65" s="881"/>
      <c r="R65" s="887"/>
      <c r="S65" s="595">
        <f t="shared" si="6"/>
        <v>2695.4409949143233</v>
      </c>
    </row>
    <row r="66" spans="2:19" ht="11.25" hidden="1" customHeight="1">
      <c r="B66" s="639">
        <v>45434</v>
      </c>
      <c r="C66" s="728" t="s">
        <v>250</v>
      </c>
      <c r="D66" s="741"/>
      <c r="E66" s="740">
        <v>47</v>
      </c>
      <c r="F66" s="640" t="s">
        <v>107</v>
      </c>
      <c r="G66" s="640"/>
      <c r="H66" s="642"/>
      <c r="I66" s="641"/>
      <c r="J66" s="643"/>
      <c r="K66" s="709">
        <v>3.6</v>
      </c>
      <c r="L66" s="612">
        <f>'통장내역(환율표)'!$D$180</f>
        <v>7.2237000282193584</v>
      </c>
      <c r="M66" s="800">
        <f t="shared" si="5"/>
        <v>0.49835956448033736</v>
      </c>
      <c r="N66" s="759">
        <f t="shared" si="7"/>
        <v>319259.68999999994</v>
      </c>
      <c r="O66" s="760">
        <f t="shared" si="8"/>
        <v>44209.946486876586</v>
      </c>
      <c r="P66" s="761" t="s">
        <v>1276</v>
      </c>
      <c r="Q66" s="881"/>
      <c r="R66" s="887"/>
      <c r="S66" s="595">
        <f t="shared" si="6"/>
        <v>2694.9426353498429</v>
      </c>
    </row>
    <row r="67" spans="2:19" ht="11.25" hidden="1" customHeight="1">
      <c r="B67" s="639">
        <v>45434</v>
      </c>
      <c r="C67" s="728" t="s">
        <v>892</v>
      </c>
      <c r="D67" s="741"/>
      <c r="E67" s="740">
        <v>48</v>
      </c>
      <c r="F67" s="640" t="s">
        <v>107</v>
      </c>
      <c r="G67" s="640"/>
      <c r="H67" s="642"/>
      <c r="I67" s="641"/>
      <c r="J67" s="643"/>
      <c r="K67" s="772">
        <v>16000</v>
      </c>
      <c r="L67" s="612">
        <f>'통장내역(환율표)'!$D$180</f>
        <v>7.2237000282193584</v>
      </c>
      <c r="M67" s="800">
        <f t="shared" si="5"/>
        <v>2214.9313976903882</v>
      </c>
      <c r="N67" s="759">
        <f t="shared" si="7"/>
        <v>303259.68999999994</v>
      </c>
      <c r="O67" s="760">
        <f t="shared" si="8"/>
        <v>41995.015089186199</v>
      </c>
      <c r="P67" s="761" t="s">
        <v>1276</v>
      </c>
      <c r="Q67" s="881"/>
      <c r="R67" s="887" t="s">
        <v>949</v>
      </c>
      <c r="S67" s="595">
        <f t="shared" si="6"/>
        <v>480.01123765945476</v>
      </c>
    </row>
    <row r="68" spans="2:19" ht="11.25" hidden="1" customHeight="1">
      <c r="B68" s="639">
        <v>45434</v>
      </c>
      <c r="C68" s="728" t="s">
        <v>947</v>
      </c>
      <c r="D68" s="741"/>
      <c r="E68" s="740">
        <v>48</v>
      </c>
      <c r="F68" s="640" t="s">
        <v>107</v>
      </c>
      <c r="G68" s="640"/>
      <c r="H68" s="642"/>
      <c r="I68" s="641"/>
      <c r="J68" s="643"/>
      <c r="K68" s="709">
        <f>L68*M68</f>
        <v>3467.4571910262125</v>
      </c>
      <c r="L68" s="612">
        <f>'통장내역(환율표)'!$D$180</f>
        <v>7.2237000282193584</v>
      </c>
      <c r="M68" s="800">
        <v>480.01123765945476</v>
      </c>
      <c r="N68" s="759">
        <f t="shared" si="7"/>
        <v>299792.23280897376</v>
      </c>
      <c r="O68" s="760">
        <f t="shared" si="8"/>
        <v>41515.003851526744</v>
      </c>
      <c r="P68" s="761" t="s">
        <v>1276</v>
      </c>
      <c r="Q68" s="881"/>
      <c r="R68" s="887" t="s">
        <v>949</v>
      </c>
      <c r="S68" s="595">
        <f t="shared" si="6"/>
        <v>0</v>
      </c>
    </row>
    <row r="69" spans="2:19" ht="11.25" hidden="1" customHeight="1">
      <c r="B69" s="639">
        <v>45434</v>
      </c>
      <c r="C69" s="728" t="s">
        <v>947</v>
      </c>
      <c r="D69" s="741"/>
      <c r="E69" s="740">
        <v>48</v>
      </c>
      <c r="F69" s="640" t="s">
        <v>107</v>
      </c>
      <c r="G69" s="640"/>
      <c r="H69" s="642"/>
      <c r="I69" s="641"/>
      <c r="J69" s="643"/>
      <c r="K69" s="709">
        <f>24000-K68</f>
        <v>20532.542808973787</v>
      </c>
      <c r="L69" s="612">
        <f>'통장내역(환율표)'!$D$188</f>
        <v>7.22130001204384</v>
      </c>
      <c r="M69" s="843">
        <f t="shared" ref="M69:M92" si="9">K69/L69</f>
        <v>2843.3305325535803</v>
      </c>
      <c r="N69" s="759">
        <f t="shared" si="7"/>
        <v>279259.68999999994</v>
      </c>
      <c r="O69" s="760">
        <f t="shared" si="8"/>
        <v>38671.67331897316</v>
      </c>
      <c r="P69" s="761" t="s">
        <v>1295</v>
      </c>
      <c r="Q69" s="881"/>
      <c r="R69" s="887" t="s">
        <v>949</v>
      </c>
      <c r="S69" s="595">
        <f>41515-M69</f>
        <v>38671.669467446423</v>
      </c>
    </row>
    <row r="70" spans="2:19" ht="11.25" hidden="1" customHeight="1">
      <c r="B70" s="639">
        <v>45434</v>
      </c>
      <c r="C70" s="728" t="s">
        <v>894</v>
      </c>
      <c r="D70" s="642"/>
      <c r="E70" s="740">
        <v>48</v>
      </c>
      <c r="F70" s="640" t="s">
        <v>107</v>
      </c>
      <c r="G70" s="640"/>
      <c r="H70" s="642"/>
      <c r="I70" s="641"/>
      <c r="J70" s="643"/>
      <c r="K70" s="772">
        <v>5125.99</v>
      </c>
      <c r="L70" s="612">
        <f>'통장내역(환율표)'!$D$188</f>
        <v>7.22130001204384</v>
      </c>
      <c r="M70" s="843">
        <f t="shared" si="9"/>
        <v>709.84310185849677</v>
      </c>
      <c r="N70" s="759">
        <f t="shared" si="7"/>
        <v>274133.69999999995</v>
      </c>
      <c r="O70" s="760">
        <f t="shared" si="8"/>
        <v>37961.830217114664</v>
      </c>
      <c r="P70" s="761" t="s">
        <v>1295</v>
      </c>
      <c r="Q70" s="881"/>
      <c r="R70" s="887" t="s">
        <v>949</v>
      </c>
      <c r="S70" s="595">
        <f>S69-M70</f>
        <v>37961.826365587927</v>
      </c>
    </row>
    <row r="71" spans="2:19" ht="11.25" hidden="1" customHeight="1">
      <c r="B71" s="639">
        <v>45434</v>
      </c>
      <c r="C71" s="728" t="s">
        <v>895</v>
      </c>
      <c r="D71" s="741"/>
      <c r="E71" s="740">
        <v>48</v>
      </c>
      <c r="F71" s="640" t="s">
        <v>107</v>
      </c>
      <c r="G71" s="640"/>
      <c r="H71" s="642"/>
      <c r="I71" s="641"/>
      <c r="J71" s="643"/>
      <c r="K71" s="772">
        <v>5620.7999999999993</v>
      </c>
      <c r="L71" s="612">
        <f>'통장내역(환율표)'!$D$188</f>
        <v>7.22130001204384</v>
      </c>
      <c r="M71" s="843">
        <f t="shared" si="9"/>
        <v>778.36400518265521</v>
      </c>
      <c r="N71" s="759">
        <f t="shared" si="7"/>
        <v>268512.89999999997</v>
      </c>
      <c r="O71" s="760">
        <f t="shared" si="8"/>
        <v>37183.466211932006</v>
      </c>
      <c r="P71" s="761" t="s">
        <v>1295</v>
      </c>
      <c r="Q71" s="881"/>
      <c r="R71" s="887" t="s">
        <v>949</v>
      </c>
      <c r="S71" s="595">
        <f t="shared" ref="S71:S92" si="10">S70-M71</f>
        <v>37183.462360405269</v>
      </c>
    </row>
    <row r="72" spans="2:19" ht="11.25" customHeight="1">
      <c r="B72" s="639">
        <v>45434</v>
      </c>
      <c r="C72" s="741" t="s">
        <v>899</v>
      </c>
      <c r="D72" s="741"/>
      <c r="E72" s="740">
        <v>48</v>
      </c>
      <c r="F72" s="640" t="s">
        <v>107</v>
      </c>
      <c r="G72" s="640"/>
      <c r="H72" s="642"/>
      <c r="I72" s="641"/>
      <c r="J72" s="643"/>
      <c r="K72" s="709">
        <v>300</v>
      </c>
      <c r="L72" s="612">
        <f>'통장내역(환율표)'!$D$188</f>
        <v>7.22130001204384</v>
      </c>
      <c r="M72" s="843">
        <f t="shared" si="9"/>
        <v>41.54376628857041</v>
      </c>
      <c r="N72" s="759">
        <f t="shared" si="7"/>
        <v>268212.89999999997</v>
      </c>
      <c r="O72" s="760">
        <f t="shared" si="8"/>
        <v>37141.922445643439</v>
      </c>
      <c r="P72" s="761" t="s">
        <v>1295</v>
      </c>
      <c r="Q72" s="881"/>
      <c r="R72" s="887" t="s">
        <v>949</v>
      </c>
      <c r="S72" s="595">
        <f t="shared" si="10"/>
        <v>37141.918594116702</v>
      </c>
    </row>
    <row r="73" spans="2:19" ht="11.25" hidden="1" customHeight="1">
      <c r="B73" s="639">
        <v>45434</v>
      </c>
      <c r="C73" s="642" t="s">
        <v>892</v>
      </c>
      <c r="D73" s="642"/>
      <c r="E73" s="740">
        <v>48</v>
      </c>
      <c r="F73" s="640" t="s">
        <v>107</v>
      </c>
      <c r="G73" s="640"/>
      <c r="H73" s="642"/>
      <c r="I73" s="641"/>
      <c r="J73" s="643"/>
      <c r="K73" s="772">
        <v>15000</v>
      </c>
      <c r="L73" s="612">
        <f>'통장내역(환율표)'!$D$188</f>
        <v>7.22130001204384</v>
      </c>
      <c r="M73" s="843">
        <f t="shared" si="9"/>
        <v>2077.1883144285207</v>
      </c>
      <c r="N73" s="759">
        <f t="shared" si="7"/>
        <v>253212.89999999997</v>
      </c>
      <c r="O73" s="760">
        <f t="shared" si="8"/>
        <v>35064.734131214915</v>
      </c>
      <c r="P73" s="761" t="s">
        <v>1295</v>
      </c>
      <c r="Q73" s="881"/>
      <c r="R73" s="887" t="s">
        <v>950</v>
      </c>
      <c r="S73" s="595">
        <f t="shared" si="10"/>
        <v>35064.730279688178</v>
      </c>
    </row>
    <row r="74" spans="2:19" ht="11.25" hidden="1" customHeight="1">
      <c r="B74" s="639">
        <v>45434</v>
      </c>
      <c r="C74" s="741" t="s">
        <v>947</v>
      </c>
      <c r="D74" s="741"/>
      <c r="E74" s="740">
        <v>48</v>
      </c>
      <c r="F74" s="640" t="s">
        <v>107</v>
      </c>
      <c r="G74" s="640"/>
      <c r="H74" s="642"/>
      <c r="I74" s="641"/>
      <c r="J74" s="643"/>
      <c r="K74" s="772">
        <v>22000</v>
      </c>
      <c r="L74" s="612">
        <f>'통장내역(환율표)'!$D$188</f>
        <v>7.22130001204384</v>
      </c>
      <c r="M74" s="843">
        <f t="shared" si="9"/>
        <v>3046.5428611618304</v>
      </c>
      <c r="N74" s="759">
        <f t="shared" si="7"/>
        <v>231212.89999999997</v>
      </c>
      <c r="O74" s="760">
        <f t="shared" si="8"/>
        <v>32018.191270053085</v>
      </c>
      <c r="P74" s="761" t="s">
        <v>1295</v>
      </c>
      <c r="Q74" s="881"/>
      <c r="R74" s="887" t="s">
        <v>950</v>
      </c>
      <c r="S74" s="595">
        <f t="shared" si="10"/>
        <v>32018.187418526348</v>
      </c>
    </row>
    <row r="75" spans="2:19" ht="11.25" hidden="1" customHeight="1">
      <c r="B75" s="639">
        <v>45434</v>
      </c>
      <c r="C75" s="741" t="s">
        <v>894</v>
      </c>
      <c r="D75" s="741"/>
      <c r="E75" s="740">
        <v>48</v>
      </c>
      <c r="F75" s="640" t="s">
        <v>107</v>
      </c>
      <c r="G75" s="640"/>
      <c r="H75" s="642"/>
      <c r="I75" s="641"/>
      <c r="J75" s="643"/>
      <c r="K75" s="709">
        <v>8558.1899999999987</v>
      </c>
      <c r="L75" s="612">
        <f>'통장내역(환율표)'!$D$188</f>
        <v>7.22130001204384</v>
      </c>
      <c r="M75" s="843">
        <f t="shared" si="9"/>
        <v>1185.1314840439345</v>
      </c>
      <c r="N75" s="759">
        <f t="shared" si="7"/>
        <v>222654.70999999996</v>
      </c>
      <c r="O75" s="760">
        <f t="shared" si="8"/>
        <v>30833.059786009151</v>
      </c>
      <c r="P75" s="761" t="s">
        <v>1295</v>
      </c>
      <c r="Q75" s="881"/>
      <c r="R75" s="887" t="s">
        <v>950</v>
      </c>
      <c r="S75" s="595">
        <f t="shared" si="10"/>
        <v>30833.055934482414</v>
      </c>
    </row>
    <row r="76" spans="2:19" ht="11.25" hidden="1" customHeight="1">
      <c r="B76" s="639">
        <v>45434</v>
      </c>
      <c r="C76" s="741" t="s">
        <v>895</v>
      </c>
      <c r="D76" s="642"/>
      <c r="E76" s="740">
        <v>48</v>
      </c>
      <c r="F76" s="640" t="s">
        <v>107</v>
      </c>
      <c r="G76" s="640"/>
      <c r="H76" s="642"/>
      <c r="I76" s="641"/>
      <c r="J76" s="643"/>
      <c r="K76" s="772">
        <v>2867</v>
      </c>
      <c r="L76" s="612">
        <f>'통장내역(환율표)'!$D$188</f>
        <v>7.22130001204384</v>
      </c>
      <c r="M76" s="843">
        <f t="shared" si="9"/>
        <v>397.01992649777122</v>
      </c>
      <c r="N76" s="759">
        <f t="shared" si="7"/>
        <v>219787.70999999996</v>
      </c>
      <c r="O76" s="760">
        <f t="shared" si="8"/>
        <v>30436.03985951138</v>
      </c>
      <c r="P76" s="761" t="s">
        <v>1295</v>
      </c>
      <c r="Q76" s="881"/>
      <c r="R76" s="887" t="s">
        <v>950</v>
      </c>
      <c r="S76" s="595">
        <f t="shared" si="10"/>
        <v>30436.036007984643</v>
      </c>
    </row>
    <row r="77" spans="2:19" ht="11.25" customHeight="1">
      <c r="B77" s="639">
        <v>45434</v>
      </c>
      <c r="C77" s="741" t="s">
        <v>899</v>
      </c>
      <c r="D77" s="741"/>
      <c r="E77" s="740">
        <v>48</v>
      </c>
      <c r="F77" s="640" t="s">
        <v>107</v>
      </c>
      <c r="G77" s="640"/>
      <c r="H77" s="642"/>
      <c r="I77" s="641"/>
      <c r="J77" s="643"/>
      <c r="K77" s="772">
        <v>300</v>
      </c>
      <c r="L77" s="612">
        <f>'통장내역(환율표)'!$D$188</f>
        <v>7.22130001204384</v>
      </c>
      <c r="M77" s="843">
        <f t="shared" si="9"/>
        <v>41.54376628857041</v>
      </c>
      <c r="N77" s="759">
        <f t="shared" si="7"/>
        <v>219487.70999999996</v>
      </c>
      <c r="O77" s="760">
        <f t="shared" si="8"/>
        <v>30394.49609322281</v>
      </c>
      <c r="P77" s="761" t="s">
        <v>1295</v>
      </c>
      <c r="Q77" s="881"/>
      <c r="R77" s="887" t="s">
        <v>950</v>
      </c>
      <c r="S77" s="595">
        <f t="shared" si="10"/>
        <v>30394.492241696073</v>
      </c>
    </row>
    <row r="78" spans="2:19" ht="11.25" hidden="1" customHeight="1">
      <c r="B78" s="639">
        <v>45434</v>
      </c>
      <c r="C78" s="741" t="s">
        <v>898</v>
      </c>
      <c r="D78" s="741"/>
      <c r="E78" s="740">
        <v>48</v>
      </c>
      <c r="F78" s="640" t="s">
        <v>107</v>
      </c>
      <c r="G78" s="640"/>
      <c r="H78" s="642"/>
      <c r="I78" s="641"/>
      <c r="J78" s="643"/>
      <c r="K78" s="709">
        <v>25000</v>
      </c>
      <c r="L78" s="612">
        <f>'통장내역(환율표)'!$D$188</f>
        <v>7.22130001204384</v>
      </c>
      <c r="M78" s="843">
        <f t="shared" si="9"/>
        <v>3461.9805240475343</v>
      </c>
      <c r="N78" s="759">
        <f t="shared" si="7"/>
        <v>194487.70999999996</v>
      </c>
      <c r="O78" s="760">
        <f t="shared" si="8"/>
        <v>26932.515569175273</v>
      </c>
      <c r="P78" s="761" t="s">
        <v>1295</v>
      </c>
      <c r="Q78" s="881"/>
      <c r="R78" s="887" t="s">
        <v>951</v>
      </c>
      <c r="S78" s="595">
        <f t="shared" si="10"/>
        <v>26932.511717648536</v>
      </c>
    </row>
    <row r="79" spans="2:19" ht="11.25" hidden="1" customHeight="1">
      <c r="B79" s="639">
        <v>45434</v>
      </c>
      <c r="C79" s="741" t="s">
        <v>1118</v>
      </c>
      <c r="D79" s="642"/>
      <c r="E79" s="740">
        <v>48</v>
      </c>
      <c r="F79" s="835" t="s">
        <v>1293</v>
      </c>
      <c r="G79" s="835"/>
      <c r="H79" s="836"/>
      <c r="I79" s="837"/>
      <c r="J79" s="838"/>
      <c r="K79" s="929">
        <v>2665</v>
      </c>
      <c r="L79" s="840">
        <f>'통장내역(환율표)'!$D$188</f>
        <v>7.22130001204384</v>
      </c>
      <c r="M79" s="689">
        <v>365.52379559909349</v>
      </c>
      <c r="N79" s="759">
        <f t="shared" si="7"/>
        <v>191822.70999999996</v>
      </c>
      <c r="O79" s="760">
        <f t="shared" si="8"/>
        <v>26566.991773576181</v>
      </c>
      <c r="P79" s="761" t="s">
        <v>1295</v>
      </c>
      <c r="Q79" s="881"/>
      <c r="R79" s="887" t="s">
        <v>951</v>
      </c>
      <c r="S79" s="595">
        <f t="shared" si="10"/>
        <v>26566.987922049444</v>
      </c>
    </row>
    <row r="80" spans="2:19" ht="11.25" hidden="1" customHeight="1">
      <c r="B80" s="639">
        <v>45434</v>
      </c>
      <c r="C80" s="741" t="s">
        <v>948</v>
      </c>
      <c r="D80" s="741"/>
      <c r="E80" s="740">
        <v>48</v>
      </c>
      <c r="F80" s="640" t="s">
        <v>107</v>
      </c>
      <c r="G80" s="640"/>
      <c r="H80" s="642"/>
      <c r="I80" s="641"/>
      <c r="J80" s="643"/>
      <c r="K80" s="772">
        <v>6936.19</v>
      </c>
      <c r="L80" s="612">
        <f>'통장내역(환율표)'!$D$188</f>
        <v>7.22130001204384</v>
      </c>
      <c r="M80" s="843">
        <f t="shared" si="9"/>
        <v>960.5181876437307</v>
      </c>
      <c r="N80" s="759">
        <f t="shared" si="7"/>
        <v>184886.51999999996</v>
      </c>
      <c r="O80" s="760">
        <f t="shared" si="8"/>
        <v>25606.47358593245</v>
      </c>
      <c r="P80" s="761" t="s">
        <v>1295</v>
      </c>
      <c r="Q80" s="881"/>
      <c r="R80" s="887" t="s">
        <v>951</v>
      </c>
      <c r="S80" s="595">
        <f t="shared" si="10"/>
        <v>25606.469734405713</v>
      </c>
    </row>
    <row r="81" spans="2:19" ht="11.25" customHeight="1">
      <c r="B81" s="639">
        <v>45434</v>
      </c>
      <c r="C81" s="741" t="s">
        <v>899</v>
      </c>
      <c r="D81" s="741"/>
      <c r="E81" s="740">
        <v>48</v>
      </c>
      <c r="F81" s="640" t="s">
        <v>107</v>
      </c>
      <c r="G81" s="640"/>
      <c r="H81" s="642"/>
      <c r="I81" s="641"/>
      <c r="J81" s="643"/>
      <c r="K81" s="709">
        <v>300</v>
      </c>
      <c r="L81" s="612">
        <f>'통장내역(환율표)'!$D$188</f>
        <v>7.22130001204384</v>
      </c>
      <c r="M81" s="843">
        <f t="shared" si="9"/>
        <v>41.54376628857041</v>
      </c>
      <c r="N81" s="759">
        <f t="shared" si="7"/>
        <v>184586.51999999996</v>
      </c>
      <c r="O81" s="760">
        <f t="shared" si="8"/>
        <v>25564.929819643879</v>
      </c>
      <c r="P81" s="761" t="s">
        <v>1295</v>
      </c>
      <c r="Q81" s="881"/>
      <c r="R81" s="887" t="s">
        <v>951</v>
      </c>
      <c r="S81" s="595">
        <f t="shared" si="10"/>
        <v>25564.925968117142</v>
      </c>
    </row>
    <row r="82" spans="2:19" ht="11.25" hidden="1" customHeight="1">
      <c r="B82" s="639">
        <v>45434</v>
      </c>
      <c r="C82" s="741" t="s">
        <v>898</v>
      </c>
      <c r="D82" s="741"/>
      <c r="E82" s="740">
        <v>48</v>
      </c>
      <c r="F82" s="640" t="s">
        <v>107</v>
      </c>
      <c r="G82" s="640"/>
      <c r="H82" s="642"/>
      <c r="I82" s="641"/>
      <c r="J82" s="643"/>
      <c r="K82" s="772">
        <v>13000</v>
      </c>
      <c r="L82" s="612">
        <f>'통장내역(환율표)'!$D$188</f>
        <v>7.22130001204384</v>
      </c>
      <c r="M82" s="843">
        <f t="shared" si="9"/>
        <v>1800.2298725047178</v>
      </c>
      <c r="N82" s="759">
        <f t="shared" si="7"/>
        <v>171586.51999999996</v>
      </c>
      <c r="O82" s="760">
        <f t="shared" si="8"/>
        <v>23764.699947139161</v>
      </c>
      <c r="P82" s="761" t="s">
        <v>1295</v>
      </c>
      <c r="Q82" s="881"/>
      <c r="R82" s="887" t="s">
        <v>952</v>
      </c>
      <c r="S82" s="595">
        <f t="shared" si="10"/>
        <v>23764.696095612424</v>
      </c>
    </row>
    <row r="83" spans="2:19" ht="11.25" hidden="1" customHeight="1">
      <c r="B83" s="639">
        <v>45434</v>
      </c>
      <c r="C83" s="741" t="s">
        <v>1118</v>
      </c>
      <c r="D83" s="741"/>
      <c r="E83" s="740">
        <v>48</v>
      </c>
      <c r="F83" s="835" t="s">
        <v>1293</v>
      </c>
      <c r="G83" s="835"/>
      <c r="H83" s="836"/>
      <c r="I83" s="837"/>
      <c r="J83" s="838"/>
      <c r="K83" s="839">
        <v>2665</v>
      </c>
      <c r="L83" s="840">
        <f>'통장내역(환율표)'!$D$188</f>
        <v>7.22130001204384</v>
      </c>
      <c r="M83" s="689">
        <v>365.52379559909349</v>
      </c>
      <c r="N83" s="759">
        <f t="shared" ref="N83:N92" si="11">N82+H83-K83</f>
        <v>168921.51999999996</v>
      </c>
      <c r="O83" s="760">
        <f t="shared" ref="O83:O92" si="12">O82+J83-M83</f>
        <v>23399.176151540069</v>
      </c>
      <c r="P83" s="761" t="s">
        <v>1295</v>
      </c>
      <c r="Q83" s="881"/>
      <c r="R83" s="887" t="s">
        <v>952</v>
      </c>
      <c r="S83" s="595">
        <f t="shared" si="10"/>
        <v>23399.172300013332</v>
      </c>
    </row>
    <row r="84" spans="2:19" ht="11.25" hidden="1" customHeight="1">
      <c r="B84" s="639">
        <v>45434</v>
      </c>
      <c r="C84" s="728" t="s">
        <v>948</v>
      </c>
      <c r="D84" s="642"/>
      <c r="E84" s="740">
        <v>48</v>
      </c>
      <c r="F84" s="640" t="s">
        <v>107</v>
      </c>
      <c r="G84" s="640"/>
      <c r="H84" s="642"/>
      <c r="I84" s="641"/>
      <c r="J84" s="643"/>
      <c r="K84" s="772">
        <v>3041.59</v>
      </c>
      <c r="L84" s="612">
        <f>'통장내역(환율표)'!$D$188</f>
        <v>7.22130001204384</v>
      </c>
      <c r="M84" s="843">
        <f t="shared" si="9"/>
        <v>421.19701368550966</v>
      </c>
      <c r="N84" s="759">
        <f t="shared" si="11"/>
        <v>165879.92999999996</v>
      </c>
      <c r="O84" s="760">
        <f t="shared" si="12"/>
        <v>22977.97913785456</v>
      </c>
      <c r="P84" s="761" t="s">
        <v>1295</v>
      </c>
      <c r="Q84" s="881"/>
      <c r="R84" s="887" t="s">
        <v>952</v>
      </c>
      <c r="S84" s="595">
        <f t="shared" si="10"/>
        <v>22977.975286327823</v>
      </c>
    </row>
    <row r="85" spans="2:19" ht="11.25" customHeight="1">
      <c r="B85" s="639">
        <v>45434</v>
      </c>
      <c r="C85" s="741" t="s">
        <v>899</v>
      </c>
      <c r="D85" s="741"/>
      <c r="E85" s="740">
        <v>48</v>
      </c>
      <c r="F85" s="640" t="s">
        <v>107</v>
      </c>
      <c r="G85" s="640"/>
      <c r="H85" s="642"/>
      <c r="I85" s="641"/>
      <c r="J85" s="643"/>
      <c r="K85" s="772">
        <v>300</v>
      </c>
      <c r="L85" s="612">
        <f>'통장내역(환율표)'!$D$188</f>
        <v>7.22130001204384</v>
      </c>
      <c r="M85" s="843">
        <f t="shared" si="9"/>
        <v>41.54376628857041</v>
      </c>
      <c r="N85" s="759">
        <f t="shared" si="11"/>
        <v>165579.92999999996</v>
      </c>
      <c r="O85" s="760">
        <f t="shared" si="12"/>
        <v>22936.435371565989</v>
      </c>
      <c r="P85" s="761" t="s">
        <v>1295</v>
      </c>
      <c r="Q85" s="881"/>
      <c r="R85" s="887" t="s">
        <v>952</v>
      </c>
      <c r="S85" s="595">
        <f t="shared" si="10"/>
        <v>22936.431520039252</v>
      </c>
    </row>
    <row r="86" spans="2:19" ht="11.25" hidden="1" customHeight="1">
      <c r="B86" s="639">
        <v>45434</v>
      </c>
      <c r="C86" s="741" t="s">
        <v>992</v>
      </c>
      <c r="D86" s="741"/>
      <c r="E86" s="740">
        <v>48</v>
      </c>
      <c r="F86" s="640" t="s">
        <v>107</v>
      </c>
      <c r="G86" s="640"/>
      <c r="H86" s="642"/>
      <c r="I86" s="641"/>
      <c r="J86" s="643"/>
      <c r="K86" s="709">
        <v>800</v>
      </c>
      <c r="L86" s="612">
        <f>'통장내역(환율표)'!$D$188</f>
        <v>7.22130001204384</v>
      </c>
      <c r="M86" s="843">
        <f t="shared" si="9"/>
        <v>110.7833767695211</v>
      </c>
      <c r="N86" s="759">
        <f t="shared" si="11"/>
        <v>164779.92999999996</v>
      </c>
      <c r="O86" s="760">
        <f t="shared" si="12"/>
        <v>22825.651994796466</v>
      </c>
      <c r="P86" s="761" t="s">
        <v>1295</v>
      </c>
      <c r="Q86" s="881"/>
      <c r="R86" s="887" t="s">
        <v>952</v>
      </c>
      <c r="S86" s="595">
        <f t="shared" si="10"/>
        <v>22825.648143269729</v>
      </c>
    </row>
    <row r="87" spans="2:19" ht="11.25" hidden="1" customHeight="1">
      <c r="B87" s="639">
        <v>45434</v>
      </c>
      <c r="C87" s="741" t="s">
        <v>898</v>
      </c>
      <c r="D87" s="642"/>
      <c r="E87" s="740">
        <v>48</v>
      </c>
      <c r="F87" s="640" t="s">
        <v>107</v>
      </c>
      <c r="G87" s="640"/>
      <c r="H87" s="642"/>
      <c r="I87" s="641"/>
      <c r="J87" s="643"/>
      <c r="K87" s="772">
        <v>25000</v>
      </c>
      <c r="L87" s="612">
        <f>'통장내역(환율표)'!$D$188</f>
        <v>7.22130001204384</v>
      </c>
      <c r="M87" s="843">
        <f t="shared" si="9"/>
        <v>3461.9805240475343</v>
      </c>
      <c r="N87" s="759">
        <f t="shared" si="11"/>
        <v>139779.92999999996</v>
      </c>
      <c r="O87" s="760">
        <f t="shared" si="12"/>
        <v>19363.67147074893</v>
      </c>
      <c r="P87" s="761" t="s">
        <v>1295</v>
      </c>
      <c r="Q87" s="881"/>
      <c r="R87" s="887" t="s">
        <v>1292</v>
      </c>
      <c r="S87" s="595">
        <f t="shared" si="10"/>
        <v>19363.667619222193</v>
      </c>
    </row>
    <row r="88" spans="2:19" ht="11.25" hidden="1" customHeight="1">
      <c r="B88" s="639">
        <v>45434</v>
      </c>
      <c r="C88" s="741" t="s">
        <v>1118</v>
      </c>
      <c r="D88" s="741"/>
      <c r="E88" s="740">
        <v>48</v>
      </c>
      <c r="F88" s="835" t="s">
        <v>1293</v>
      </c>
      <c r="G88" s="835"/>
      <c r="H88" s="836"/>
      <c r="I88" s="837"/>
      <c r="J88" s="838"/>
      <c r="K88" s="929">
        <v>2665</v>
      </c>
      <c r="L88" s="840">
        <f>'통장내역(환율표)'!$D$188</f>
        <v>7.22130001204384</v>
      </c>
      <c r="M88" s="689">
        <v>365.52379559909349</v>
      </c>
      <c r="N88" s="759">
        <f t="shared" si="11"/>
        <v>137114.92999999996</v>
      </c>
      <c r="O88" s="760">
        <f t="shared" si="12"/>
        <v>18998.147675149838</v>
      </c>
      <c r="P88" s="761" t="s">
        <v>1295</v>
      </c>
      <c r="Q88" s="881"/>
      <c r="R88" s="887" t="s">
        <v>1292</v>
      </c>
      <c r="S88" s="595">
        <f t="shared" si="10"/>
        <v>18998.143823623101</v>
      </c>
    </row>
    <row r="89" spans="2:19" ht="11.25" hidden="1" customHeight="1">
      <c r="B89" s="639">
        <v>45434</v>
      </c>
      <c r="C89" s="741" t="s">
        <v>948</v>
      </c>
      <c r="D89" s="741"/>
      <c r="E89" s="740">
        <v>48</v>
      </c>
      <c r="F89" s="640" t="s">
        <v>107</v>
      </c>
      <c r="G89" s="640"/>
      <c r="H89" s="642"/>
      <c r="I89" s="641"/>
      <c r="J89" s="643"/>
      <c r="K89" s="709">
        <v>6936.19</v>
      </c>
      <c r="L89" s="612">
        <f>'통장내역(환율표)'!$D$188</f>
        <v>7.22130001204384</v>
      </c>
      <c r="M89" s="843">
        <f t="shared" si="9"/>
        <v>960.5181876437307</v>
      </c>
      <c r="N89" s="759">
        <f t="shared" si="11"/>
        <v>130178.73999999996</v>
      </c>
      <c r="O89" s="760">
        <f t="shared" si="12"/>
        <v>18037.629487506107</v>
      </c>
      <c r="P89" s="761" t="s">
        <v>1295</v>
      </c>
      <c r="Q89" s="881"/>
      <c r="R89" s="887" t="s">
        <v>1292</v>
      </c>
      <c r="S89" s="595">
        <f t="shared" si="10"/>
        <v>18037.62563597937</v>
      </c>
    </row>
    <row r="90" spans="2:19" ht="11.25" customHeight="1">
      <c r="B90" s="639">
        <v>45434</v>
      </c>
      <c r="C90" s="741" t="s">
        <v>899</v>
      </c>
      <c r="D90" s="642"/>
      <c r="E90" s="740">
        <v>48</v>
      </c>
      <c r="F90" s="640" t="s">
        <v>107</v>
      </c>
      <c r="G90" s="640"/>
      <c r="H90" s="642"/>
      <c r="I90" s="641"/>
      <c r="J90" s="643"/>
      <c r="K90" s="772">
        <v>300</v>
      </c>
      <c r="L90" s="612">
        <f>'통장내역(환율표)'!$D$188</f>
        <v>7.22130001204384</v>
      </c>
      <c r="M90" s="843">
        <f t="shared" si="9"/>
        <v>41.54376628857041</v>
      </c>
      <c r="N90" s="759">
        <f t="shared" si="11"/>
        <v>129878.73999999996</v>
      </c>
      <c r="O90" s="760">
        <f t="shared" si="12"/>
        <v>17996.085721217536</v>
      </c>
      <c r="P90" s="761" t="s">
        <v>1295</v>
      </c>
      <c r="Q90" s="881"/>
      <c r="R90" s="887" t="s">
        <v>1292</v>
      </c>
      <c r="S90" s="595">
        <f t="shared" si="10"/>
        <v>17996.081869690799</v>
      </c>
    </row>
    <row r="91" spans="2:19" ht="11.25" hidden="1" customHeight="1">
      <c r="B91" s="639">
        <v>45434</v>
      </c>
      <c r="C91" s="642" t="s">
        <v>992</v>
      </c>
      <c r="D91" s="741"/>
      <c r="E91" s="740">
        <v>48</v>
      </c>
      <c r="F91" s="640" t="s">
        <v>107</v>
      </c>
      <c r="G91" s="640"/>
      <c r="H91" s="642"/>
      <c r="I91" s="641"/>
      <c r="J91" s="643"/>
      <c r="K91" s="772">
        <v>400</v>
      </c>
      <c r="L91" s="612">
        <f>'통장내역(환율표)'!$D$188</f>
        <v>7.22130001204384</v>
      </c>
      <c r="M91" s="843">
        <f t="shared" si="9"/>
        <v>55.391688384760549</v>
      </c>
      <c r="N91" s="759">
        <f t="shared" si="11"/>
        <v>129478.73999999996</v>
      </c>
      <c r="O91" s="760">
        <f t="shared" si="12"/>
        <v>17940.694032832776</v>
      </c>
      <c r="P91" s="761" t="s">
        <v>1295</v>
      </c>
      <c r="Q91" s="881"/>
      <c r="R91" s="887" t="s">
        <v>1292</v>
      </c>
      <c r="S91" s="595">
        <f t="shared" si="10"/>
        <v>17940.690181306039</v>
      </c>
    </row>
    <row r="92" spans="2:19" ht="11.25" hidden="1" customHeight="1">
      <c r="B92" s="639">
        <v>45434</v>
      </c>
      <c r="C92" s="642" t="s">
        <v>250</v>
      </c>
      <c r="D92" s="741"/>
      <c r="E92" s="740">
        <v>49</v>
      </c>
      <c r="F92" s="640" t="s">
        <v>107</v>
      </c>
      <c r="G92" s="640"/>
      <c r="H92" s="642"/>
      <c r="I92" s="641"/>
      <c r="J92" s="643"/>
      <c r="K92" s="709">
        <v>12</v>
      </c>
      <c r="L92" s="612">
        <f>'통장내역(환율표)'!$D$188</f>
        <v>7.22130001204384</v>
      </c>
      <c r="M92" s="843">
        <f t="shared" si="9"/>
        <v>1.6617506515428166</v>
      </c>
      <c r="N92" s="928">
        <f t="shared" si="11"/>
        <v>129466.73999999996</v>
      </c>
      <c r="O92" s="927">
        <f t="shared" si="12"/>
        <v>17939.032282181233</v>
      </c>
      <c r="P92" s="761" t="s">
        <v>1295</v>
      </c>
      <c r="Q92" s="881"/>
      <c r="R92" s="887"/>
      <c r="S92" s="908">
        <f t="shared" si="10"/>
        <v>17939.028430654496</v>
      </c>
    </row>
    <row r="93" spans="2:19" ht="11.25" customHeight="1">
      <c r="C93" s="589"/>
      <c r="D93" s="589"/>
      <c r="E93" s="589"/>
      <c r="F93" s="589"/>
      <c r="G93" s="589"/>
      <c r="H93" s="589"/>
      <c r="K93" s="531"/>
    </row>
    <row r="94" spans="2:19" ht="11.25" customHeight="1">
      <c r="C94" s="589"/>
      <c r="D94" s="589"/>
      <c r="E94" s="589"/>
      <c r="F94" s="589"/>
      <c r="G94" s="589"/>
      <c r="H94" s="589"/>
      <c r="K94" s="531"/>
    </row>
    <row r="95" spans="2:19" ht="11.25" customHeight="1">
      <c r="C95" s="589"/>
      <c r="D95" s="589"/>
      <c r="E95" s="589"/>
      <c r="F95" s="589"/>
      <c r="G95" s="589"/>
      <c r="H95" s="589"/>
      <c r="K95" s="531"/>
      <c r="N95" s="531" t="s">
        <v>1275</v>
      </c>
    </row>
    <row r="96" spans="2:19" ht="11.25" customHeight="1">
      <c r="C96" s="589"/>
      <c r="D96" s="589"/>
      <c r="E96" s="589"/>
      <c r="F96" s="589"/>
      <c r="G96" s="589"/>
      <c r="H96" s="589"/>
      <c r="K96" s="531"/>
    </row>
    <row r="97" spans="3:8" ht="11.25" customHeight="1">
      <c r="C97" s="589"/>
      <c r="D97" s="589"/>
      <c r="E97" s="589"/>
      <c r="F97" s="589"/>
      <c r="G97" s="589"/>
      <c r="H97" s="589"/>
    </row>
    <row r="98" spans="3:8" ht="11.25" customHeight="1">
      <c r="C98" s="589"/>
      <c r="D98" s="589"/>
      <c r="E98" s="589"/>
      <c r="F98" s="589"/>
      <c r="G98" s="589"/>
      <c r="H98" s="589"/>
    </row>
    <row r="99" spans="3:8" ht="11.25" customHeight="1">
      <c r="C99" s="589"/>
      <c r="D99" s="589"/>
      <c r="E99" s="589"/>
      <c r="F99" s="589"/>
      <c r="G99" s="589"/>
      <c r="H99" s="589"/>
    </row>
    <row r="100" spans="3:8" ht="11.25" customHeight="1">
      <c r="C100" s="589"/>
      <c r="D100" s="589"/>
      <c r="E100" s="589"/>
      <c r="F100" s="589"/>
      <c r="G100" s="589"/>
      <c r="H100" s="589"/>
    </row>
    <row r="101" spans="3:8" ht="11.25" customHeight="1">
      <c r="C101" s="589"/>
      <c r="D101" s="589"/>
      <c r="E101" s="589"/>
      <c r="F101" s="589"/>
      <c r="G101" s="589"/>
      <c r="H101" s="589"/>
    </row>
    <row r="102" spans="3:8" ht="11.25" customHeight="1">
      <c r="C102" s="589"/>
      <c r="D102" s="589"/>
      <c r="E102" s="589"/>
      <c r="F102" s="589"/>
      <c r="G102" s="589"/>
      <c r="H102" s="589"/>
    </row>
    <row r="103" spans="3:8" ht="11.25" customHeight="1">
      <c r="C103" s="589"/>
      <c r="D103" s="589"/>
      <c r="E103" s="589"/>
      <c r="F103" s="589"/>
      <c r="G103" s="589"/>
      <c r="H103" s="589"/>
    </row>
    <row r="104" spans="3:8" ht="11.25" customHeight="1">
      <c r="C104" s="589"/>
      <c r="D104" s="589"/>
      <c r="E104" s="589"/>
      <c r="F104" s="589"/>
      <c r="G104" s="589"/>
      <c r="H104" s="589"/>
    </row>
    <row r="105" spans="3:8" ht="11.25" customHeight="1">
      <c r="C105" s="589"/>
      <c r="D105" s="589"/>
      <c r="E105" s="589"/>
      <c r="F105" s="589"/>
      <c r="G105" s="589"/>
      <c r="H105" s="589"/>
    </row>
    <row r="106" spans="3:8" ht="11.25" customHeight="1">
      <c r="C106" s="589"/>
      <c r="D106" s="589"/>
      <c r="E106" s="589"/>
      <c r="F106" s="589"/>
      <c r="G106" s="589"/>
      <c r="H106" s="589"/>
    </row>
    <row r="107" spans="3:8" ht="11.25" customHeight="1">
      <c r="C107" s="589"/>
      <c r="D107" s="589"/>
      <c r="E107" s="589"/>
      <c r="F107" s="589"/>
      <c r="G107" s="589"/>
      <c r="H107" s="589"/>
    </row>
  </sheetData>
  <autoFilter ref="B17:R92" xr:uid="{00000000-0009-0000-0000-000001000000}">
    <filterColumn colId="1">
      <filters>
        <filter val="대행수수료"/>
        <filter val="세무대행비"/>
      </filters>
    </filterColumn>
    <filterColumn colId="14" showButton="0"/>
    <sortState xmlns:xlrd2="http://schemas.microsoft.com/office/spreadsheetml/2017/richdata2" ref="B20:R48">
      <sortCondition sortBy="cellColor" ref="M17:M92" dxfId="14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733E-58E4-4368-B3C3-3CC40013CC0C}">
  <sheetPr>
    <tabColor theme="7" tint="-0.249977111117893"/>
  </sheetPr>
  <dimension ref="A1:AC111"/>
  <sheetViews>
    <sheetView showGridLines="0" zoomScaleNormal="100" workbookViewId="0">
      <pane ySplit="18" topLeftCell="A97" activePane="bottomLeft" state="frozen"/>
      <selection activeCell="O20" sqref="O20"/>
      <selection pane="bottomLeft" activeCell="N110" sqref="N110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1317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1319</v>
      </c>
      <c r="C3" s="547"/>
      <c r="D3" s="547"/>
      <c r="E3" s="547"/>
      <c r="F3" s="790">
        <v>1367.9</v>
      </c>
      <c r="G3" s="550"/>
      <c r="H3" s="546" t="s">
        <v>1318</v>
      </c>
      <c r="I3" s="547"/>
      <c r="K3" s="548"/>
      <c r="L3" s="790">
        <v>1366.9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10905.74</v>
      </c>
      <c r="E5" s="566">
        <v>1510.22</v>
      </c>
      <c r="F5" s="567">
        <f>ROUND(E5*$F$3,0)</f>
        <v>2065830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2065830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52025.52</v>
      </c>
      <c r="E6" s="570">
        <v>7204.45</v>
      </c>
      <c r="F6" s="567">
        <f t="shared" ref="F6:F12" si="0">ROUND(E6*$F$3,0)</f>
        <v>9854967</v>
      </c>
      <c r="G6" s="572"/>
      <c r="H6" s="569" t="s">
        <v>13</v>
      </c>
      <c r="I6" s="569" t="s">
        <v>14</v>
      </c>
      <c r="J6" s="766">
        <v>2478.0300000000002</v>
      </c>
      <c r="K6" s="766">
        <v>342.24</v>
      </c>
      <c r="L6" s="723">
        <f t="shared" ref="L6:L11" si="1">ROUND(K6*$L$3,0)</f>
        <v>467808</v>
      </c>
      <c r="M6" s="931">
        <f t="shared" ref="M6:M13" si="2">L6+F6</f>
        <v>10322775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24481</v>
      </c>
      <c r="E7" s="566">
        <v>3390.11</v>
      </c>
      <c r="F7" s="567">
        <f t="shared" si="0"/>
        <v>4637331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4637331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2423.39</v>
      </c>
      <c r="F8" s="567">
        <f t="shared" si="0"/>
        <v>3314955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3314955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942.4</v>
      </c>
      <c r="E9" s="570">
        <v>130.5</v>
      </c>
      <c r="F9" s="567">
        <f t="shared" si="0"/>
        <v>178511</v>
      </c>
      <c r="G9" s="574"/>
      <c r="H9" s="569" t="s">
        <v>19</v>
      </c>
      <c r="I9" s="564" t="s">
        <v>20</v>
      </c>
      <c r="J9" s="766">
        <v>299</v>
      </c>
      <c r="K9" s="766">
        <v>41.29</v>
      </c>
      <c r="L9" s="723">
        <f t="shared" si="1"/>
        <v>56439</v>
      </c>
      <c r="M9" s="931">
        <f t="shared" si="2"/>
        <v>234950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23908.499999999996</v>
      </c>
      <c r="E10" s="570">
        <v>3310.83</v>
      </c>
      <c r="F10" s="567">
        <f t="shared" si="0"/>
        <v>4528884</v>
      </c>
      <c r="G10" s="575"/>
      <c r="H10" s="569" t="s">
        <v>21</v>
      </c>
      <c r="I10" s="569"/>
      <c r="J10" s="766">
        <v>189345.94999999998</v>
      </c>
      <c r="K10" s="766">
        <v>26201.59</v>
      </c>
      <c r="L10" s="723">
        <f>ROUND(K10*$L$3,0)</f>
        <v>35814953</v>
      </c>
      <c r="M10" s="931">
        <f t="shared" si="2"/>
        <v>40343837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1367.8999366186467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>
        <v>220.03</v>
      </c>
      <c r="E12" s="570">
        <v>30.47</v>
      </c>
      <c r="F12" s="567">
        <f t="shared" si="0"/>
        <v>41680</v>
      </c>
      <c r="G12" s="582">
        <f>E13+Q13+AB13</f>
        <v>17939.03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41680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129543.12999999999</v>
      </c>
      <c r="E13" s="585">
        <f>SUM(E5:E11)-E12</f>
        <v>17939.03</v>
      </c>
      <c r="F13" s="950">
        <f>SUM(F5:F11)-F12</f>
        <v>24538798</v>
      </c>
      <c r="G13" s="588">
        <f>F13+R13+AC13</f>
        <v>24538798</v>
      </c>
      <c r="H13" s="948" t="s">
        <v>22</v>
      </c>
      <c r="I13" s="949"/>
      <c r="J13" s="585">
        <f>SUM(J5:J11)-J12</f>
        <v>192122.97999999998</v>
      </c>
      <c r="K13" s="585">
        <f>SUM(K5:K11)-K12</f>
        <v>26585.119999999999</v>
      </c>
      <c r="L13" s="950">
        <f>SUM(L5:L11)-L12</f>
        <v>36339200</v>
      </c>
      <c r="M13" s="951">
        <f t="shared" si="2"/>
        <v>60877998</v>
      </c>
      <c r="N13" s="952"/>
      <c r="O13" s="953"/>
      <c r="P13" s="853"/>
      <c r="Q13" s="853"/>
      <c r="R13" s="853"/>
      <c r="S13" s="954"/>
      <c r="U13" s="930"/>
      <c r="X13" s="955">
        <f>F13+R13</f>
        <v>24538798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66831.899999999994</v>
      </c>
      <c r="E14" s="816">
        <f>SUM(E7:E10)</f>
        <v>9254.83</v>
      </c>
      <c r="F14" s="816">
        <f>SUM(F7:F10)</f>
        <v>12659681</v>
      </c>
      <c r="G14" s="594"/>
      <c r="K14" s="945">
        <f>K15-D12</f>
        <v>321666.11000000004</v>
      </c>
      <c r="L14" s="946"/>
      <c r="M14" s="945">
        <f>M15-E12</f>
        <v>44524.150950246491</v>
      </c>
      <c r="O14" s="595"/>
      <c r="P14" s="924">
        <f>P13+D13+J13</f>
        <v>321666.11</v>
      </c>
      <c r="Q14" s="924">
        <f>Q13+E13+K13</f>
        <v>44524.149999999994</v>
      </c>
      <c r="R14" s="925">
        <f>R13+F13+L13</f>
        <v>60877998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SUBTOTAL(9,K18:K125)</f>
        <v>321886.14000000007</v>
      </c>
      <c r="L15" s="137"/>
      <c r="M15" s="724">
        <f>SUBTOTAL(9,M18:M125)</f>
        <v>44554.620950246492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5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29"/>
      <c r="R17" s="556" t="s">
        <v>1071</v>
      </c>
    </row>
    <row r="18" spans="1:19" ht="11.25" customHeight="1">
      <c r="B18" s="729">
        <v>45443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858">
        <v>129466.73999999996</v>
      </c>
      <c r="O18" s="859">
        <v>17939.032282181233</v>
      </c>
      <c r="P18" s="753"/>
      <c r="Q18" s="876"/>
      <c r="R18" s="883"/>
      <c r="S18" s="926">
        <v>17939.028430654496</v>
      </c>
    </row>
    <row r="19" spans="1:19" ht="11.25" customHeight="1">
      <c r="B19" s="821">
        <v>45455</v>
      </c>
      <c r="C19" s="822" t="s">
        <v>834</v>
      </c>
      <c r="D19" s="822"/>
      <c r="E19" s="823"/>
      <c r="F19" s="824"/>
      <c r="G19" s="824"/>
      <c r="H19" s="825">
        <v>297994.13</v>
      </c>
      <c r="I19" s="826"/>
      <c r="J19" s="826">
        <v>41207</v>
      </c>
      <c r="K19" s="827"/>
      <c r="L19" s="828"/>
      <c r="M19" s="765"/>
      <c r="N19" s="829">
        <f>N18+H19-K19</f>
        <v>427460.87</v>
      </c>
      <c r="O19" s="830">
        <f>O18+J19-M19</f>
        <v>59146.03228218123</v>
      </c>
      <c r="P19" s="831"/>
      <c r="Q19" s="878"/>
      <c r="R19" s="885"/>
      <c r="S19" s="595"/>
    </row>
    <row r="20" spans="1:19" ht="11.25" customHeight="1">
      <c r="B20" s="821">
        <v>45455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>
        <f>'통장내역(환율표)'!$D$194</f>
        <v>7.2405999125279425</v>
      </c>
      <c r="M20" s="691">
        <v>51</v>
      </c>
      <c r="N20" s="829">
        <f t="shared" ref="N20:N83" si="3">N19+H20-K20</f>
        <v>427460.87</v>
      </c>
      <c r="O20" s="830">
        <f t="shared" ref="O20:O83" si="4">O19+J20-M20</f>
        <v>59095.03228218123</v>
      </c>
      <c r="P20" s="831" t="s">
        <v>1315</v>
      </c>
      <c r="Q20" s="878"/>
      <c r="R20" s="885"/>
      <c r="S20" s="595"/>
    </row>
    <row r="21" spans="1:19" ht="11.25" customHeight="1">
      <c r="B21" s="639">
        <v>45460</v>
      </c>
      <c r="C21" s="728" t="s">
        <v>304</v>
      </c>
      <c r="D21" s="728"/>
      <c r="E21" s="740">
        <v>2</v>
      </c>
      <c r="F21" s="640" t="s">
        <v>105</v>
      </c>
      <c r="G21" s="640" t="s">
        <v>76</v>
      </c>
      <c r="H21" s="642"/>
      <c r="I21" s="758"/>
      <c r="J21" s="643"/>
      <c r="K21" s="709">
        <v>24481</v>
      </c>
      <c r="L21" s="612">
        <f>'통장내역(환율표)'!$D$188</f>
        <v>7.22130001204384</v>
      </c>
      <c r="M21" s="843">
        <f>K21/L21</f>
        <v>3390.1098083683078</v>
      </c>
      <c r="N21" s="759">
        <f t="shared" si="3"/>
        <v>402979.87</v>
      </c>
      <c r="O21" s="760">
        <f t="shared" si="4"/>
        <v>55704.92247381292</v>
      </c>
      <c r="P21" s="761" t="s">
        <v>1295</v>
      </c>
      <c r="Q21" s="879"/>
      <c r="R21" s="886"/>
      <c r="S21" s="595">
        <f>S18-M21</f>
        <v>14548.918622286188</v>
      </c>
    </row>
    <row r="22" spans="1:19" ht="11.25" customHeight="1">
      <c r="B22" s="639">
        <v>45460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'통장내역(환율표)'!$D$188</f>
        <v>7.22130001204384</v>
      </c>
      <c r="M22" s="843">
        <f>K22/L22</f>
        <v>0.99705039092568992</v>
      </c>
      <c r="N22" s="759">
        <f t="shared" si="3"/>
        <v>402972.67</v>
      </c>
      <c r="O22" s="760">
        <f t="shared" si="4"/>
        <v>55703.925423421992</v>
      </c>
      <c r="P22" s="761" t="s">
        <v>1295</v>
      </c>
      <c r="Q22" s="879"/>
      <c r="R22" s="886"/>
      <c r="S22" s="595">
        <f>S21-M22+J22</f>
        <v>14547.921571895262</v>
      </c>
    </row>
    <row r="23" spans="1:19" ht="12" customHeight="1">
      <c r="B23" s="639">
        <v>45460</v>
      </c>
      <c r="C23" s="728" t="s">
        <v>1291</v>
      </c>
      <c r="D23" s="728"/>
      <c r="E23" s="740">
        <v>4</v>
      </c>
      <c r="F23" s="640" t="s">
        <v>146</v>
      </c>
      <c r="G23" s="640" t="s">
        <v>147</v>
      </c>
      <c r="H23" s="642"/>
      <c r="I23" s="758"/>
      <c r="J23" s="643"/>
      <c r="K23" s="709">
        <v>1600</v>
      </c>
      <c r="L23" s="612">
        <f>'통장내역(환율표)'!$D$188</f>
        <v>7.22130001204384</v>
      </c>
      <c r="M23" s="843">
        <f>K23/L23</f>
        <v>221.5667535390422</v>
      </c>
      <c r="N23" s="759">
        <f t="shared" si="3"/>
        <v>401372.67</v>
      </c>
      <c r="O23" s="760">
        <f t="shared" si="4"/>
        <v>55482.358669882946</v>
      </c>
      <c r="P23" s="761" t="s">
        <v>1295</v>
      </c>
      <c r="Q23" s="879"/>
      <c r="R23" s="886"/>
      <c r="S23" s="595">
        <f t="shared" ref="S23:S69" si="5">S22-M23+J23</f>
        <v>14326.35481835622</v>
      </c>
    </row>
    <row r="24" spans="1:19" ht="12" customHeight="1">
      <c r="B24" s="639">
        <v>45460</v>
      </c>
      <c r="C24" s="728" t="s">
        <v>250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3.6</v>
      </c>
      <c r="L24" s="612">
        <f>'통장내역(환율표)'!$D$188</f>
        <v>7.22130001204384</v>
      </c>
      <c r="M24" s="843">
        <f>K24/L24</f>
        <v>0.49852519546284496</v>
      </c>
      <c r="N24" s="759">
        <f t="shared" si="3"/>
        <v>401369.07</v>
      </c>
      <c r="O24" s="760">
        <f t="shared" si="4"/>
        <v>55481.860144687482</v>
      </c>
      <c r="P24" s="761" t="s">
        <v>1295</v>
      </c>
      <c r="Q24" s="879"/>
      <c r="R24" s="886"/>
      <c r="S24" s="595">
        <f t="shared" si="5"/>
        <v>14325.856293160758</v>
      </c>
    </row>
    <row r="25" spans="1:19" ht="11.25" customHeight="1">
      <c r="B25" s="639">
        <v>45463</v>
      </c>
      <c r="C25" s="728" t="s">
        <v>1297</v>
      </c>
      <c r="D25" s="728"/>
      <c r="E25" s="740">
        <v>6</v>
      </c>
      <c r="F25" s="640" t="s">
        <v>60</v>
      </c>
      <c r="G25" s="640"/>
      <c r="H25" s="936">
        <v>220.03</v>
      </c>
      <c r="I25" s="612">
        <f>'통장내역(환율표)'!$D$188</f>
        <v>7.22130001204384</v>
      </c>
      <c r="J25" s="843">
        <f>H25/I25</f>
        <v>30.469582988247161</v>
      </c>
      <c r="K25" s="709"/>
      <c r="L25" s="612">
        <f>'통장내역(환율표)'!$D$188</f>
        <v>7.22130001204384</v>
      </c>
      <c r="M25" s="843">
        <f>K25/L25</f>
        <v>0</v>
      </c>
      <c r="N25" s="759">
        <f t="shared" si="3"/>
        <v>401589.10000000003</v>
      </c>
      <c r="O25" s="760">
        <f>O24+J25-M25</f>
        <v>55512.329727675729</v>
      </c>
      <c r="P25" s="761" t="s">
        <v>1295</v>
      </c>
      <c r="Q25" s="879"/>
      <c r="R25" s="886"/>
      <c r="S25" s="595">
        <f>S24-M25+J25</f>
        <v>14356.325876149005</v>
      </c>
    </row>
    <row r="26" spans="1:19" ht="11.25" customHeight="1">
      <c r="B26" s="639">
        <v>45467</v>
      </c>
      <c r="C26" s="728" t="s">
        <v>250</v>
      </c>
      <c r="D26" s="728"/>
      <c r="E26" s="740">
        <v>8</v>
      </c>
      <c r="F26" s="640" t="s">
        <v>107</v>
      </c>
      <c r="G26" s="640"/>
      <c r="H26" s="938"/>
      <c r="I26" s="758"/>
      <c r="J26" s="643"/>
      <c r="K26" s="709">
        <v>12</v>
      </c>
      <c r="L26" s="612">
        <f>'통장내역(환율표)'!$D$188</f>
        <v>7.22130001204384</v>
      </c>
      <c r="M26" s="843">
        <f t="shared" ref="M26:M49" si="6">K26/L26</f>
        <v>1.6617506515428166</v>
      </c>
      <c r="N26" s="759">
        <f t="shared" si="3"/>
        <v>401577.10000000003</v>
      </c>
      <c r="O26" s="760">
        <f t="shared" si="4"/>
        <v>55510.66797702419</v>
      </c>
      <c r="P26" s="761" t="s">
        <v>1295</v>
      </c>
      <c r="Q26" s="879"/>
      <c r="R26" s="886" t="s">
        <v>1311</v>
      </c>
      <c r="S26" s="595">
        <f>S25-M26+J26</f>
        <v>14354.664125497462</v>
      </c>
    </row>
    <row r="27" spans="1:19" ht="11.25" customHeight="1">
      <c r="B27" s="639">
        <v>45467</v>
      </c>
      <c r="C27" s="728" t="s">
        <v>305</v>
      </c>
      <c r="D27" s="728"/>
      <c r="E27" s="740">
        <v>9</v>
      </c>
      <c r="F27" s="640" t="s">
        <v>105</v>
      </c>
      <c r="G27" s="640" t="s">
        <v>227</v>
      </c>
      <c r="H27" s="642"/>
      <c r="I27" s="758"/>
      <c r="J27" s="643"/>
      <c r="K27" s="667">
        <v>10500</v>
      </c>
      <c r="L27" s="612">
        <f>'통장내역(환율표)'!$D$188</f>
        <v>7.22130001204384</v>
      </c>
      <c r="M27" s="843">
        <f t="shared" si="6"/>
        <v>1454.0318200999645</v>
      </c>
      <c r="N27" s="759">
        <f t="shared" si="3"/>
        <v>391077.10000000003</v>
      </c>
      <c r="O27" s="760">
        <f t="shared" si="4"/>
        <v>54056.636156924229</v>
      </c>
      <c r="P27" s="761" t="s">
        <v>1295</v>
      </c>
      <c r="Q27" s="879"/>
      <c r="R27" s="886"/>
      <c r="S27" s="595">
        <f t="shared" si="5"/>
        <v>12900.632305397497</v>
      </c>
    </row>
    <row r="28" spans="1:19" ht="11.25" customHeight="1">
      <c r="B28" s="639">
        <v>45467</v>
      </c>
      <c r="C28" s="728" t="s">
        <v>1116</v>
      </c>
      <c r="D28" s="728"/>
      <c r="E28" s="740">
        <v>10</v>
      </c>
      <c r="F28" s="640" t="s">
        <v>107</v>
      </c>
      <c r="G28" s="640"/>
      <c r="H28" s="642"/>
      <c r="I28" s="758"/>
      <c r="J28" s="643"/>
      <c r="K28" s="711">
        <v>6000</v>
      </c>
      <c r="L28" s="612">
        <f>'통장내역(환율표)'!$D$188</f>
        <v>7.22130001204384</v>
      </c>
      <c r="M28" s="843">
        <f t="shared" si="6"/>
        <v>830.87532577140826</v>
      </c>
      <c r="N28" s="759">
        <f t="shared" si="3"/>
        <v>385077.10000000003</v>
      </c>
      <c r="O28" s="760">
        <f t="shared" si="4"/>
        <v>53225.760831152824</v>
      </c>
      <c r="P28" s="761" t="s">
        <v>1295</v>
      </c>
      <c r="Q28" s="879"/>
      <c r="R28" s="886"/>
      <c r="S28" s="595">
        <f t="shared" si="5"/>
        <v>12069.756979626089</v>
      </c>
    </row>
    <row r="29" spans="1:19" ht="11.25" customHeight="1">
      <c r="B29" s="639">
        <v>45467</v>
      </c>
      <c r="C29" s="728" t="s">
        <v>1117</v>
      </c>
      <c r="D29" s="728"/>
      <c r="E29" s="740">
        <v>11</v>
      </c>
      <c r="F29" s="640" t="s">
        <v>107</v>
      </c>
      <c r="G29" s="640"/>
      <c r="H29" s="642"/>
      <c r="I29" s="758"/>
      <c r="J29" s="643"/>
      <c r="K29" s="711">
        <v>740</v>
      </c>
      <c r="L29" s="612">
        <f>'통장내역(환율표)'!$D$188</f>
        <v>7.22130001204384</v>
      </c>
      <c r="M29" s="843">
        <f t="shared" si="6"/>
        <v>102.47462351180702</v>
      </c>
      <c r="N29" s="759">
        <f t="shared" si="3"/>
        <v>384337.10000000003</v>
      </c>
      <c r="O29" s="760">
        <f t="shared" si="4"/>
        <v>53123.286207641017</v>
      </c>
      <c r="P29" s="761" t="s">
        <v>1295</v>
      </c>
      <c r="Q29" s="879"/>
      <c r="R29" s="886"/>
      <c r="S29" s="595">
        <f t="shared" si="5"/>
        <v>11967.282356114281</v>
      </c>
    </row>
    <row r="30" spans="1:19" ht="11.25" customHeight="1">
      <c r="B30" s="639">
        <v>45467</v>
      </c>
      <c r="C30" s="728" t="s">
        <v>305</v>
      </c>
      <c r="D30" s="728"/>
      <c r="E30" s="740">
        <v>12</v>
      </c>
      <c r="F30" s="640" t="s">
        <v>105</v>
      </c>
      <c r="G30" s="640" t="s">
        <v>227</v>
      </c>
      <c r="H30" s="642"/>
      <c r="I30" s="758"/>
      <c r="J30" s="643"/>
      <c r="K30" s="772">
        <v>7000</v>
      </c>
      <c r="L30" s="612">
        <f>'통장내역(환율표)'!$D$188</f>
        <v>7.22130001204384</v>
      </c>
      <c r="M30" s="843">
        <f t="shared" si="6"/>
        <v>969.35454673330969</v>
      </c>
      <c r="N30" s="759">
        <f t="shared" si="3"/>
        <v>377337.10000000003</v>
      </c>
      <c r="O30" s="760">
        <f t="shared" si="4"/>
        <v>52153.931660907707</v>
      </c>
      <c r="P30" s="761" t="s">
        <v>1295</v>
      </c>
      <c r="Q30" s="879"/>
      <c r="R30" s="886"/>
      <c r="S30" s="595">
        <f t="shared" si="5"/>
        <v>10997.927809380972</v>
      </c>
    </row>
    <row r="31" spans="1:19" ht="11.25" customHeight="1">
      <c r="B31" s="639">
        <v>45467</v>
      </c>
      <c r="C31" s="728" t="s">
        <v>1116</v>
      </c>
      <c r="D31" s="728"/>
      <c r="E31" s="740">
        <v>13</v>
      </c>
      <c r="F31" s="640" t="s">
        <v>107</v>
      </c>
      <c r="G31" s="640"/>
      <c r="H31" s="642"/>
      <c r="I31" s="758"/>
      <c r="J31" s="643"/>
      <c r="K31" s="772">
        <v>6000</v>
      </c>
      <c r="L31" s="612">
        <f>'통장내역(환율표)'!$D$188</f>
        <v>7.22130001204384</v>
      </c>
      <c r="M31" s="843">
        <f t="shared" si="6"/>
        <v>830.87532577140826</v>
      </c>
      <c r="N31" s="759">
        <f t="shared" si="3"/>
        <v>371337.10000000003</v>
      </c>
      <c r="O31" s="760">
        <f t="shared" si="4"/>
        <v>51323.056335136302</v>
      </c>
      <c r="P31" s="761" t="s">
        <v>1295</v>
      </c>
      <c r="Q31" s="879"/>
      <c r="R31" s="886"/>
      <c r="S31" s="595">
        <f t="shared" si="5"/>
        <v>10167.052483609563</v>
      </c>
    </row>
    <row r="32" spans="1:19" ht="11.25" customHeight="1">
      <c r="B32" s="639">
        <v>45467</v>
      </c>
      <c r="C32" s="728" t="s">
        <v>1117</v>
      </c>
      <c r="D32" s="728"/>
      <c r="E32" s="740">
        <v>14</v>
      </c>
      <c r="F32" s="640" t="s">
        <v>107</v>
      </c>
      <c r="G32" s="640"/>
      <c r="H32" s="642"/>
      <c r="I32" s="758"/>
      <c r="J32" s="643"/>
      <c r="K32" s="711">
        <v>140</v>
      </c>
      <c r="L32" s="612">
        <f>'통장내역(환율표)'!$D$188</f>
        <v>7.22130001204384</v>
      </c>
      <c r="M32" s="843">
        <f t="shared" si="6"/>
        <v>19.387090934666194</v>
      </c>
      <c r="N32" s="759">
        <f t="shared" si="3"/>
        <v>371197.10000000003</v>
      </c>
      <c r="O32" s="760">
        <f t="shared" si="4"/>
        <v>51303.669244201636</v>
      </c>
      <c r="P32" s="761" t="s">
        <v>1295</v>
      </c>
      <c r="Q32" s="879"/>
      <c r="R32" s="886"/>
      <c r="S32" s="595">
        <f t="shared" si="5"/>
        <v>10147.665392674897</v>
      </c>
    </row>
    <row r="33" spans="2:19" ht="11.25" customHeight="1">
      <c r="B33" s="639">
        <v>45467</v>
      </c>
      <c r="C33" s="728" t="s">
        <v>445</v>
      </c>
      <c r="D33" s="728"/>
      <c r="E33" s="740">
        <v>15</v>
      </c>
      <c r="F33" s="640" t="s">
        <v>107</v>
      </c>
      <c r="G33" s="640"/>
      <c r="H33" s="642"/>
      <c r="I33" s="758"/>
      <c r="J33" s="643"/>
      <c r="K33" s="711">
        <v>7.2</v>
      </c>
      <c r="L33" s="612">
        <f>'통장내역(환율표)'!$D$188</f>
        <v>7.22130001204384</v>
      </c>
      <c r="M33" s="843">
        <f t="shared" si="6"/>
        <v>0.99705039092568992</v>
      </c>
      <c r="N33" s="759">
        <f t="shared" si="3"/>
        <v>371189.9</v>
      </c>
      <c r="O33" s="760">
        <f t="shared" si="4"/>
        <v>51302.672193810708</v>
      </c>
      <c r="P33" s="761" t="s">
        <v>1295</v>
      </c>
      <c r="Q33" s="879"/>
      <c r="R33" s="886"/>
      <c r="S33" s="595">
        <f t="shared" si="5"/>
        <v>10146.668342283971</v>
      </c>
    </row>
    <row r="34" spans="2:19" ht="11.25" customHeight="1">
      <c r="B34" s="639">
        <v>45467</v>
      </c>
      <c r="C34" s="728" t="s">
        <v>242</v>
      </c>
      <c r="D34" s="728"/>
      <c r="E34" s="740">
        <v>16</v>
      </c>
      <c r="F34" s="640" t="s">
        <v>107</v>
      </c>
      <c r="G34" s="640"/>
      <c r="H34" s="642"/>
      <c r="I34" s="758"/>
      <c r="J34" s="643"/>
      <c r="K34" s="939">
        <v>3030</v>
      </c>
      <c r="L34" s="612">
        <f>'통장내역(환율표)'!$D$188</f>
        <v>7.22130001204384</v>
      </c>
      <c r="M34" s="843">
        <f t="shared" si="6"/>
        <v>419.59203951456118</v>
      </c>
      <c r="N34" s="759">
        <f t="shared" si="3"/>
        <v>368159.9</v>
      </c>
      <c r="O34" s="760">
        <f t="shared" si="4"/>
        <v>50883.080154296149</v>
      </c>
      <c r="P34" s="761" t="s">
        <v>1295</v>
      </c>
      <c r="Q34" s="879"/>
      <c r="R34" s="887"/>
      <c r="S34" s="595">
        <f t="shared" si="5"/>
        <v>9727.0763027694102</v>
      </c>
    </row>
    <row r="35" spans="2:19" ht="11.25" customHeight="1">
      <c r="B35" s="639">
        <v>45467</v>
      </c>
      <c r="C35" s="728" t="s">
        <v>445</v>
      </c>
      <c r="D35" s="728"/>
      <c r="E35" s="740">
        <v>17</v>
      </c>
      <c r="F35" s="640" t="s">
        <v>107</v>
      </c>
      <c r="G35" s="640"/>
      <c r="H35" s="642"/>
      <c r="I35" s="758"/>
      <c r="J35" s="643"/>
      <c r="K35" s="939">
        <v>3.6</v>
      </c>
      <c r="L35" s="612">
        <f>'통장내역(환율표)'!$D$188</f>
        <v>7.22130001204384</v>
      </c>
      <c r="M35" s="843">
        <f t="shared" si="6"/>
        <v>0.49852519546284496</v>
      </c>
      <c r="N35" s="759">
        <f t="shared" si="3"/>
        <v>368156.30000000005</v>
      </c>
      <c r="O35" s="760">
        <f t="shared" si="4"/>
        <v>50882.581629100685</v>
      </c>
      <c r="P35" s="761" t="s">
        <v>1295</v>
      </c>
      <c r="Q35" s="879"/>
      <c r="R35" s="887"/>
      <c r="S35" s="595">
        <f t="shared" si="5"/>
        <v>9726.577777573948</v>
      </c>
    </row>
    <row r="36" spans="2:19" ht="11.25" customHeight="1">
      <c r="B36" s="639">
        <v>45467</v>
      </c>
      <c r="C36" s="728" t="s">
        <v>1298</v>
      </c>
      <c r="D36" s="728"/>
      <c r="E36" s="740">
        <v>18</v>
      </c>
      <c r="F36" s="640" t="s">
        <v>107</v>
      </c>
      <c r="G36" s="640"/>
      <c r="H36" s="642"/>
      <c r="I36" s="758"/>
      <c r="J36" s="643"/>
      <c r="K36" s="939">
        <v>4876</v>
      </c>
      <c r="L36" s="612">
        <f>'통장내역(환율표)'!$D$188</f>
        <v>7.22130001204384</v>
      </c>
      <c r="M36" s="843">
        <f t="shared" si="6"/>
        <v>675.22468141023114</v>
      </c>
      <c r="N36" s="759">
        <f t="shared" si="3"/>
        <v>363280.30000000005</v>
      </c>
      <c r="O36" s="760">
        <f t="shared" si="4"/>
        <v>50207.356947690452</v>
      </c>
      <c r="P36" s="761" t="s">
        <v>1295</v>
      </c>
      <c r="Q36" s="879"/>
      <c r="R36" s="887"/>
      <c r="S36" s="595">
        <f t="shared" si="5"/>
        <v>9051.3530961637171</v>
      </c>
    </row>
    <row r="37" spans="2:19" ht="11.25" customHeight="1">
      <c r="B37" s="639">
        <v>45467</v>
      </c>
      <c r="C37" s="728" t="s">
        <v>445</v>
      </c>
      <c r="D37" s="728"/>
      <c r="E37" s="740">
        <v>19</v>
      </c>
      <c r="F37" s="640" t="s">
        <v>107</v>
      </c>
      <c r="G37" s="640"/>
      <c r="H37" s="642"/>
      <c r="I37" s="758"/>
      <c r="J37" s="643"/>
      <c r="K37" s="940">
        <v>3.6</v>
      </c>
      <c r="L37" s="612">
        <f>'통장내역(환율표)'!$D$188</f>
        <v>7.22130001204384</v>
      </c>
      <c r="M37" s="843">
        <f t="shared" si="6"/>
        <v>0.49852519546284496</v>
      </c>
      <c r="N37" s="759">
        <f t="shared" si="3"/>
        <v>363276.70000000007</v>
      </c>
      <c r="O37" s="760">
        <f t="shared" si="4"/>
        <v>50206.858422494988</v>
      </c>
      <c r="P37" s="761" t="s">
        <v>1295</v>
      </c>
      <c r="Q37" s="879"/>
      <c r="R37" s="887"/>
      <c r="S37" s="595">
        <f t="shared" si="5"/>
        <v>9050.8545709682548</v>
      </c>
    </row>
    <row r="38" spans="2:19" ht="11.25" customHeight="1">
      <c r="B38" s="639">
        <v>45467</v>
      </c>
      <c r="C38" s="728" t="s">
        <v>1003</v>
      </c>
      <c r="D38" s="728"/>
      <c r="E38" s="740">
        <v>20</v>
      </c>
      <c r="F38" s="640" t="s">
        <v>146</v>
      </c>
      <c r="G38" s="640" t="s">
        <v>147</v>
      </c>
      <c r="H38" s="642"/>
      <c r="I38" s="758"/>
      <c r="J38" s="643"/>
      <c r="K38" s="772">
        <v>111</v>
      </c>
      <c r="L38" s="612">
        <f>'통장내역(환율표)'!$D$188</f>
        <v>7.22130001204384</v>
      </c>
      <c r="M38" s="843">
        <f t="shared" si="6"/>
        <v>15.371193526771053</v>
      </c>
      <c r="N38" s="759">
        <f t="shared" si="3"/>
        <v>363165.70000000007</v>
      </c>
      <c r="O38" s="760">
        <f t="shared" si="4"/>
        <v>50191.487228968217</v>
      </c>
      <c r="P38" s="761" t="s">
        <v>1295</v>
      </c>
      <c r="Q38" s="879"/>
      <c r="R38" s="887"/>
      <c r="S38" s="595">
        <f t="shared" si="5"/>
        <v>9035.4833774414838</v>
      </c>
    </row>
    <row r="39" spans="2:19" ht="11.25" customHeight="1">
      <c r="B39" s="639">
        <v>45467</v>
      </c>
      <c r="C39" s="728" t="s">
        <v>1004</v>
      </c>
      <c r="D39" s="728"/>
      <c r="E39" s="740">
        <v>21</v>
      </c>
      <c r="F39" s="640" t="s">
        <v>146</v>
      </c>
      <c r="G39" s="640" t="s">
        <v>147</v>
      </c>
      <c r="H39" s="642"/>
      <c r="I39" s="758"/>
      <c r="J39" s="643"/>
      <c r="K39" s="772">
        <v>203</v>
      </c>
      <c r="L39" s="612">
        <f>'통장내역(환율표)'!$D$188</f>
        <v>7.22130001204384</v>
      </c>
      <c r="M39" s="843">
        <f t="shared" si="6"/>
        <v>28.111281855265979</v>
      </c>
      <c r="N39" s="759">
        <f t="shared" si="3"/>
        <v>362962.70000000007</v>
      </c>
      <c r="O39" s="760">
        <f t="shared" si="4"/>
        <v>50163.375947112952</v>
      </c>
      <c r="P39" s="761" t="s">
        <v>1295</v>
      </c>
      <c r="Q39" s="879"/>
      <c r="R39" s="887"/>
      <c r="S39" s="595">
        <f t="shared" si="5"/>
        <v>9007.3720955862173</v>
      </c>
    </row>
    <row r="40" spans="2:19" ht="11.25" customHeight="1">
      <c r="B40" s="639">
        <v>45467</v>
      </c>
      <c r="C40" s="728" t="s">
        <v>1005</v>
      </c>
      <c r="D40" s="728"/>
      <c r="E40" s="740">
        <v>22</v>
      </c>
      <c r="F40" s="640" t="s">
        <v>146</v>
      </c>
      <c r="G40" s="640" t="s">
        <v>147</v>
      </c>
      <c r="H40" s="642"/>
      <c r="I40" s="758"/>
      <c r="J40" s="643"/>
      <c r="K40" s="772">
        <v>1562</v>
      </c>
      <c r="L40" s="612">
        <f>'통장내역(환율표)'!$D$188</f>
        <v>7.22130001204384</v>
      </c>
      <c r="M40" s="843">
        <f t="shared" si="6"/>
        <v>216.30454314248996</v>
      </c>
      <c r="N40" s="759">
        <f t="shared" si="3"/>
        <v>361400.70000000007</v>
      </c>
      <c r="O40" s="760">
        <f t="shared" si="4"/>
        <v>49947.071403970462</v>
      </c>
      <c r="P40" s="761" t="s">
        <v>1295</v>
      </c>
      <c r="Q40" s="879"/>
      <c r="R40" s="887"/>
      <c r="S40" s="595">
        <f t="shared" si="5"/>
        <v>8791.0675524437265</v>
      </c>
    </row>
    <row r="41" spans="2:19" ht="11.25" customHeight="1">
      <c r="B41" s="639">
        <v>45467</v>
      </c>
      <c r="C41" s="728" t="s">
        <v>250</v>
      </c>
      <c r="D41" s="728"/>
      <c r="E41" s="740">
        <v>23</v>
      </c>
      <c r="F41" s="640" t="s">
        <v>107</v>
      </c>
      <c r="G41" s="640"/>
      <c r="H41" s="642"/>
      <c r="I41" s="758"/>
      <c r="J41" s="643"/>
      <c r="K41" s="772">
        <v>3.6</v>
      </c>
      <c r="L41" s="612">
        <f>'통장내역(환율표)'!$D$188</f>
        <v>7.22130001204384</v>
      </c>
      <c r="M41" s="843">
        <f t="shared" si="6"/>
        <v>0.49852519546284496</v>
      </c>
      <c r="N41" s="759">
        <f t="shared" si="3"/>
        <v>361397.10000000009</v>
      </c>
      <c r="O41" s="760">
        <f t="shared" si="4"/>
        <v>49946.572878774998</v>
      </c>
      <c r="P41" s="761" t="s">
        <v>1295</v>
      </c>
      <c r="Q41" s="879"/>
      <c r="R41" s="887"/>
      <c r="S41" s="595">
        <f t="shared" si="5"/>
        <v>8790.5690272482643</v>
      </c>
    </row>
    <row r="42" spans="2:19" ht="11.25" customHeight="1">
      <c r="B42" s="639">
        <v>45467</v>
      </c>
      <c r="C42" s="728" t="s">
        <v>1006</v>
      </c>
      <c r="D42" s="728"/>
      <c r="E42" s="740">
        <v>24</v>
      </c>
      <c r="F42" s="640" t="s">
        <v>146</v>
      </c>
      <c r="G42" s="640" t="s">
        <v>147</v>
      </c>
      <c r="H42" s="642"/>
      <c r="I42" s="758"/>
      <c r="J42" s="643"/>
      <c r="K42" s="772">
        <v>407</v>
      </c>
      <c r="L42" s="612">
        <f>'통장내역(환율표)'!$D$188</f>
        <v>7.22130001204384</v>
      </c>
      <c r="M42" s="843">
        <f t="shared" si="6"/>
        <v>56.361042931493863</v>
      </c>
      <c r="N42" s="759">
        <f t="shared" si="3"/>
        <v>360990.10000000009</v>
      </c>
      <c r="O42" s="760">
        <f t="shared" si="4"/>
        <v>49890.211835843504</v>
      </c>
      <c r="P42" s="761" t="s">
        <v>1295</v>
      </c>
      <c r="Q42" s="879"/>
      <c r="R42" s="887"/>
      <c r="S42" s="595">
        <f t="shared" si="5"/>
        <v>8734.2079843167703</v>
      </c>
    </row>
    <row r="43" spans="2:19" ht="11.25" customHeight="1">
      <c r="B43" s="639">
        <v>45467</v>
      </c>
      <c r="C43" s="728" t="s">
        <v>1007</v>
      </c>
      <c r="D43" s="728"/>
      <c r="E43" s="740">
        <v>25</v>
      </c>
      <c r="F43" s="640" t="s">
        <v>146</v>
      </c>
      <c r="G43" s="640" t="s">
        <v>147</v>
      </c>
      <c r="H43" s="642"/>
      <c r="I43" s="758"/>
      <c r="J43" s="643"/>
      <c r="K43" s="772">
        <v>449</v>
      </c>
      <c r="L43" s="612">
        <f>'통장내역(환율표)'!$D$188</f>
        <v>7.22130001204384</v>
      </c>
      <c r="M43" s="843">
        <f t="shared" si="6"/>
        <v>62.177170211893717</v>
      </c>
      <c r="N43" s="759">
        <f t="shared" si="3"/>
        <v>360541.10000000009</v>
      </c>
      <c r="O43" s="760">
        <f t="shared" si="4"/>
        <v>49828.034665631611</v>
      </c>
      <c r="P43" s="761" t="s">
        <v>1295</v>
      </c>
      <c r="Q43" s="879"/>
      <c r="R43" s="887"/>
      <c r="S43" s="595">
        <f t="shared" si="5"/>
        <v>8672.0308141048772</v>
      </c>
    </row>
    <row r="44" spans="2:19" ht="11.25" customHeight="1">
      <c r="B44" s="639">
        <v>45467</v>
      </c>
      <c r="C44" s="728" t="s">
        <v>1008</v>
      </c>
      <c r="D44" s="728"/>
      <c r="E44" s="740">
        <v>26</v>
      </c>
      <c r="F44" s="640" t="s">
        <v>146</v>
      </c>
      <c r="G44" s="640" t="s">
        <v>147</v>
      </c>
      <c r="H44" s="642"/>
      <c r="I44" s="758"/>
      <c r="J44" s="643"/>
      <c r="K44" s="772">
        <v>3171.1</v>
      </c>
      <c r="L44" s="612">
        <f>'통장내역(환율표)'!$D$188</f>
        <v>7.22130001204384</v>
      </c>
      <c r="M44" s="843">
        <f t="shared" si="6"/>
        <v>439.13145759228547</v>
      </c>
      <c r="N44" s="759">
        <f t="shared" si="3"/>
        <v>357370.00000000012</v>
      </c>
      <c r="O44" s="760">
        <f t="shared" si="4"/>
        <v>49388.903208039323</v>
      </c>
      <c r="P44" s="761" t="s">
        <v>1295</v>
      </c>
      <c r="Q44" s="879"/>
      <c r="R44" s="887"/>
      <c r="S44" s="595">
        <f t="shared" si="5"/>
        <v>8232.8993565125911</v>
      </c>
    </row>
    <row r="45" spans="2:19" ht="11.25" customHeight="1">
      <c r="B45" s="639">
        <v>45467</v>
      </c>
      <c r="C45" s="728" t="s">
        <v>250</v>
      </c>
      <c r="D45" s="728"/>
      <c r="E45" s="740">
        <v>27</v>
      </c>
      <c r="F45" s="640" t="s">
        <v>107</v>
      </c>
      <c r="G45" s="640"/>
      <c r="H45" s="642"/>
      <c r="I45" s="758"/>
      <c r="J45" s="643"/>
      <c r="K45" s="772">
        <v>3.6</v>
      </c>
      <c r="L45" s="612">
        <f>'통장내역(환율표)'!$D$188</f>
        <v>7.22130001204384</v>
      </c>
      <c r="M45" s="843">
        <f t="shared" si="6"/>
        <v>0.49852519546284496</v>
      </c>
      <c r="N45" s="759">
        <f t="shared" si="3"/>
        <v>357366.40000000014</v>
      </c>
      <c r="O45" s="760">
        <f t="shared" si="4"/>
        <v>49388.404682843859</v>
      </c>
      <c r="P45" s="761" t="s">
        <v>1295</v>
      </c>
      <c r="Q45" s="879"/>
      <c r="R45" s="887"/>
      <c r="S45" s="595">
        <f t="shared" si="5"/>
        <v>8232.4008313171289</v>
      </c>
    </row>
    <row r="46" spans="2:19" ht="11.25" customHeight="1">
      <c r="B46" s="639">
        <v>45467</v>
      </c>
      <c r="C46" s="728" t="s">
        <v>1099</v>
      </c>
      <c r="D46" s="728"/>
      <c r="E46" s="740">
        <v>28</v>
      </c>
      <c r="F46" s="640" t="s">
        <v>146</v>
      </c>
      <c r="G46" s="640" t="s">
        <v>147</v>
      </c>
      <c r="H46" s="642"/>
      <c r="I46" s="758"/>
      <c r="J46" s="643"/>
      <c r="K46" s="772">
        <v>1660.7</v>
      </c>
      <c r="L46" s="612">
        <f>'통장내역(환율표)'!$D$188</f>
        <v>7.22130001204384</v>
      </c>
      <c r="M46" s="843">
        <f t="shared" si="6"/>
        <v>229.97244225142961</v>
      </c>
      <c r="N46" s="759">
        <f t="shared" si="3"/>
        <v>355705.70000000013</v>
      </c>
      <c r="O46" s="760">
        <f t="shared" si="4"/>
        <v>49158.432240592432</v>
      </c>
      <c r="P46" s="761" t="s">
        <v>1295</v>
      </c>
      <c r="Q46" s="879"/>
      <c r="R46" s="887"/>
      <c r="S46" s="595">
        <f t="shared" si="5"/>
        <v>8002.4283890656989</v>
      </c>
    </row>
    <row r="47" spans="2:19" ht="11.25" customHeight="1">
      <c r="B47" s="639">
        <v>45467</v>
      </c>
      <c r="C47" s="728" t="s">
        <v>1299</v>
      </c>
      <c r="D47" s="728"/>
      <c r="E47" s="740">
        <v>29</v>
      </c>
      <c r="F47" s="640" t="s">
        <v>146</v>
      </c>
      <c r="G47" s="640" t="s">
        <v>147</v>
      </c>
      <c r="H47" s="642"/>
      <c r="I47" s="758"/>
      <c r="J47" s="643"/>
      <c r="K47" s="772">
        <v>8971</v>
      </c>
      <c r="L47" s="612">
        <f>'통장내역(환율표)'!$D$188</f>
        <v>7.22130001204384</v>
      </c>
      <c r="M47" s="843">
        <f t="shared" si="6"/>
        <v>1242.2970912492174</v>
      </c>
      <c r="N47" s="759">
        <f t="shared" si="3"/>
        <v>346734.70000000013</v>
      </c>
      <c r="O47" s="760">
        <f t="shared" si="4"/>
        <v>47916.135149343216</v>
      </c>
      <c r="P47" s="761" t="s">
        <v>1295</v>
      </c>
      <c r="Q47" s="879"/>
      <c r="R47" s="887"/>
      <c r="S47" s="595">
        <f t="shared" si="5"/>
        <v>6760.1312978164815</v>
      </c>
    </row>
    <row r="48" spans="2:19" ht="11.25" customHeight="1">
      <c r="B48" s="639">
        <v>45467</v>
      </c>
      <c r="C48" s="728" t="s">
        <v>1016</v>
      </c>
      <c r="D48" s="728"/>
      <c r="E48" s="740">
        <v>30</v>
      </c>
      <c r="F48" s="640" t="s">
        <v>107</v>
      </c>
      <c r="G48" s="640"/>
      <c r="H48" s="642"/>
      <c r="I48" s="758"/>
      <c r="J48" s="643"/>
      <c r="K48" s="772">
        <v>363.7</v>
      </c>
      <c r="L48" s="612">
        <f>'통장내역(환율표)'!$D$188</f>
        <v>7.22130001204384</v>
      </c>
      <c r="M48" s="843">
        <f t="shared" si="6"/>
        <v>50.364892663843527</v>
      </c>
      <c r="N48" s="759">
        <f t="shared" si="3"/>
        <v>346371.00000000012</v>
      </c>
      <c r="O48" s="760">
        <f t="shared" si="4"/>
        <v>47865.770256679374</v>
      </c>
      <c r="P48" s="761" t="s">
        <v>1295</v>
      </c>
      <c r="Q48" s="879"/>
      <c r="R48" s="887"/>
      <c r="S48" s="595">
        <f t="shared" si="5"/>
        <v>6709.7664051526381</v>
      </c>
    </row>
    <row r="49" spans="2:19" ht="11.25" customHeight="1">
      <c r="B49" s="639">
        <v>45467</v>
      </c>
      <c r="C49" s="728" t="s">
        <v>1020</v>
      </c>
      <c r="D49" s="728"/>
      <c r="E49" s="740">
        <v>31</v>
      </c>
      <c r="F49" s="640" t="s">
        <v>116</v>
      </c>
      <c r="G49" s="640" t="s">
        <v>140</v>
      </c>
      <c r="H49" s="642"/>
      <c r="I49" s="758"/>
      <c r="J49" s="643"/>
      <c r="K49" s="772">
        <v>99.8</v>
      </c>
      <c r="L49" s="612">
        <f>'통장내역(환율표)'!$D$188</f>
        <v>7.22130001204384</v>
      </c>
      <c r="M49" s="843">
        <f t="shared" si="6"/>
        <v>13.820226251997758</v>
      </c>
      <c r="N49" s="759">
        <f t="shared" si="3"/>
        <v>346271.20000000013</v>
      </c>
      <c r="O49" s="760">
        <f t="shared" si="4"/>
        <v>47851.950030427375</v>
      </c>
      <c r="P49" s="761" t="s">
        <v>1295</v>
      </c>
      <c r="Q49" s="879"/>
      <c r="R49" s="887"/>
      <c r="S49" s="595">
        <f t="shared" si="5"/>
        <v>6695.94617890064</v>
      </c>
    </row>
    <row r="50" spans="2:19" ht="11.25" customHeight="1">
      <c r="B50" s="639">
        <v>45467</v>
      </c>
      <c r="C50" s="728" t="s">
        <v>250</v>
      </c>
      <c r="D50" s="728"/>
      <c r="E50" s="740">
        <v>32</v>
      </c>
      <c r="F50" s="640" t="s">
        <v>107</v>
      </c>
      <c r="G50" s="640"/>
      <c r="H50" s="642"/>
      <c r="I50" s="758"/>
      <c r="J50" s="643"/>
      <c r="K50" s="772">
        <v>7.2</v>
      </c>
      <c r="L50" s="612">
        <f>'통장내역(환율표)'!$D$188</f>
        <v>7.22130001204384</v>
      </c>
      <c r="M50" s="843">
        <f t="shared" ref="M50:M66" si="7">K50/L50</f>
        <v>0.99705039092568992</v>
      </c>
      <c r="N50" s="759">
        <f t="shared" si="3"/>
        <v>346264.00000000012</v>
      </c>
      <c r="O50" s="760">
        <f t="shared" si="4"/>
        <v>47850.952980036447</v>
      </c>
      <c r="P50" s="761" t="s">
        <v>1295</v>
      </c>
      <c r="Q50" s="879"/>
      <c r="R50" s="887"/>
      <c r="S50" s="595">
        <f t="shared" si="5"/>
        <v>6694.9491285097147</v>
      </c>
    </row>
    <row r="51" spans="2:19" ht="11.25" customHeight="1">
      <c r="B51" s="639">
        <v>45467</v>
      </c>
      <c r="C51" s="728" t="s">
        <v>1301</v>
      </c>
      <c r="D51" s="728"/>
      <c r="E51" s="740">
        <v>33</v>
      </c>
      <c r="F51" s="640" t="s">
        <v>146</v>
      </c>
      <c r="G51" s="640" t="s">
        <v>147</v>
      </c>
      <c r="H51" s="642"/>
      <c r="I51" s="758"/>
      <c r="J51" s="643"/>
      <c r="K51" s="772">
        <v>1649.4</v>
      </c>
      <c r="L51" s="612">
        <f>'통장내역(환율표)'!$D$188</f>
        <v>7.22130001204384</v>
      </c>
      <c r="M51" s="843">
        <f t="shared" si="7"/>
        <v>228.40762705456015</v>
      </c>
      <c r="N51" s="759">
        <f t="shared" si="3"/>
        <v>344614.60000000009</v>
      </c>
      <c r="O51" s="760">
        <f t="shared" si="4"/>
        <v>47622.545352981884</v>
      </c>
      <c r="P51" s="761" t="s">
        <v>1295</v>
      </c>
      <c r="Q51" s="879"/>
      <c r="R51" s="887"/>
      <c r="S51" s="595">
        <f t="shared" si="5"/>
        <v>6466.5415014551545</v>
      </c>
    </row>
    <row r="52" spans="2:19" ht="11.25" customHeight="1">
      <c r="B52" s="639">
        <v>45467</v>
      </c>
      <c r="C52" s="728" t="s">
        <v>852</v>
      </c>
      <c r="D52" s="728"/>
      <c r="E52" s="740">
        <v>34</v>
      </c>
      <c r="F52" s="640" t="s">
        <v>107</v>
      </c>
      <c r="G52" s="640"/>
      <c r="H52" s="642"/>
      <c r="I52" s="758"/>
      <c r="J52" s="643"/>
      <c r="K52" s="772">
        <v>246.2</v>
      </c>
      <c r="L52" s="612">
        <f>'통장내역(환율표)'!$D$188</f>
        <v>7.22130001204384</v>
      </c>
      <c r="M52" s="843">
        <f t="shared" si="7"/>
        <v>34.093584200820118</v>
      </c>
      <c r="N52" s="759">
        <f t="shared" si="3"/>
        <v>344368.40000000008</v>
      </c>
      <c r="O52" s="760">
        <f t="shared" si="4"/>
        <v>47588.451768781066</v>
      </c>
      <c r="P52" s="761" t="s">
        <v>1295</v>
      </c>
      <c r="Q52" s="881"/>
      <c r="R52" s="887"/>
      <c r="S52" s="595">
        <f t="shared" si="5"/>
        <v>6432.4479172543342</v>
      </c>
    </row>
    <row r="53" spans="2:19" ht="11.25" customHeight="1">
      <c r="B53" s="639">
        <v>45467</v>
      </c>
      <c r="C53" s="728" t="s">
        <v>1312</v>
      </c>
      <c r="D53" s="728"/>
      <c r="E53" s="740">
        <v>35</v>
      </c>
      <c r="F53" s="640" t="s">
        <v>146</v>
      </c>
      <c r="G53" s="640" t="s">
        <v>147</v>
      </c>
      <c r="H53" s="642"/>
      <c r="I53" s="758"/>
      <c r="J53" s="643"/>
      <c r="K53" s="772">
        <v>2159</v>
      </c>
      <c r="L53" s="612">
        <f>'통장내역(환율표)'!$D$188</f>
        <v>7.22130001204384</v>
      </c>
      <c r="M53" s="843">
        <f t="shared" si="7"/>
        <v>298.97663805674506</v>
      </c>
      <c r="N53" s="759">
        <f t="shared" si="3"/>
        <v>342209.40000000008</v>
      </c>
      <c r="O53" s="760">
        <f t="shared" si="4"/>
        <v>47289.47513072432</v>
      </c>
      <c r="P53" s="761" t="s">
        <v>1295</v>
      </c>
      <c r="Q53" s="881"/>
      <c r="R53" s="887"/>
      <c r="S53" s="595">
        <f t="shared" si="5"/>
        <v>6133.471279197589</v>
      </c>
    </row>
    <row r="54" spans="2:19" ht="11.25" customHeight="1">
      <c r="B54" s="639">
        <v>45467</v>
      </c>
      <c r="C54" s="728" t="s">
        <v>851</v>
      </c>
      <c r="D54" s="728"/>
      <c r="E54" s="740">
        <v>36</v>
      </c>
      <c r="F54" s="640" t="s">
        <v>116</v>
      </c>
      <c r="G54" s="640" t="s">
        <v>140</v>
      </c>
      <c r="H54" s="642"/>
      <c r="I54" s="758"/>
      <c r="J54" s="643"/>
      <c r="K54" s="772">
        <v>123.6</v>
      </c>
      <c r="L54" s="612">
        <f>'통장내역(환율표)'!$D$188</f>
        <v>7.22130001204384</v>
      </c>
      <c r="M54" s="843">
        <f t="shared" si="7"/>
        <v>17.116031710891008</v>
      </c>
      <c r="N54" s="759">
        <f t="shared" si="3"/>
        <v>342085.8000000001</v>
      </c>
      <c r="O54" s="760">
        <f t="shared" si="4"/>
        <v>47272.359099013433</v>
      </c>
      <c r="P54" s="761" t="s">
        <v>1295</v>
      </c>
      <c r="Q54" s="881"/>
      <c r="R54" s="887"/>
      <c r="S54" s="595">
        <f t="shared" si="5"/>
        <v>6116.3552474866983</v>
      </c>
    </row>
    <row r="55" spans="2:19" ht="11.25" customHeight="1">
      <c r="B55" s="639">
        <v>45467</v>
      </c>
      <c r="C55" s="728" t="s">
        <v>1300</v>
      </c>
      <c r="D55" s="728"/>
      <c r="E55" s="740">
        <v>37</v>
      </c>
      <c r="F55" s="640" t="s">
        <v>125</v>
      </c>
      <c r="G55" s="640" t="s">
        <v>145</v>
      </c>
      <c r="H55" s="642"/>
      <c r="I55" s="758"/>
      <c r="J55" s="643"/>
      <c r="K55" s="772">
        <v>480</v>
      </c>
      <c r="L55" s="612">
        <f>'통장내역(환율표)'!$D$188</f>
        <v>7.22130001204384</v>
      </c>
      <c r="M55" s="843">
        <f t="shared" si="7"/>
        <v>66.470026061712659</v>
      </c>
      <c r="N55" s="759">
        <f t="shared" si="3"/>
        <v>341605.8000000001</v>
      </c>
      <c r="O55" s="760">
        <f t="shared" si="4"/>
        <v>47205.889072951722</v>
      </c>
      <c r="P55" s="761" t="s">
        <v>1295</v>
      </c>
      <c r="Q55" s="879"/>
      <c r="R55" s="887"/>
      <c r="S55" s="595">
        <f t="shared" si="5"/>
        <v>6049.8852214249855</v>
      </c>
    </row>
    <row r="56" spans="2:19" ht="11.25" customHeight="1">
      <c r="B56" s="639">
        <v>45467</v>
      </c>
      <c r="C56" s="728" t="s">
        <v>250</v>
      </c>
      <c r="D56" s="728"/>
      <c r="E56" s="740">
        <v>38</v>
      </c>
      <c r="F56" s="640" t="s">
        <v>107</v>
      </c>
      <c r="G56" s="640"/>
      <c r="H56" s="642"/>
      <c r="I56" s="758"/>
      <c r="J56" s="643"/>
      <c r="K56" s="772">
        <v>3.6</v>
      </c>
      <c r="L56" s="612">
        <f>'통장내역(환율표)'!$D$188</f>
        <v>7.22130001204384</v>
      </c>
      <c r="M56" s="843">
        <f t="shared" si="7"/>
        <v>0.49852519546284496</v>
      </c>
      <c r="N56" s="759">
        <f t="shared" si="3"/>
        <v>341602.20000000013</v>
      </c>
      <c r="O56" s="760">
        <f t="shared" si="4"/>
        <v>47205.390547756258</v>
      </c>
      <c r="P56" s="761" t="s">
        <v>1295</v>
      </c>
      <c r="Q56" s="881"/>
      <c r="R56" s="887"/>
      <c r="S56" s="595">
        <f t="shared" si="5"/>
        <v>6049.3866962295224</v>
      </c>
    </row>
    <row r="57" spans="2:19" ht="11.25" customHeight="1">
      <c r="B57" s="639">
        <v>45467</v>
      </c>
      <c r="C57" s="728" t="s">
        <v>1304</v>
      </c>
      <c r="D57" s="728"/>
      <c r="E57" s="740">
        <v>39</v>
      </c>
      <c r="F57" s="640" t="s">
        <v>146</v>
      </c>
      <c r="G57" s="640" t="s">
        <v>147</v>
      </c>
      <c r="H57" s="642"/>
      <c r="I57" s="758"/>
      <c r="J57" s="643"/>
      <c r="K57" s="709">
        <v>17561.07</v>
      </c>
      <c r="L57" s="612">
        <f>'통장내역(환율표)'!$D$188</f>
        <v>7.22130001204384</v>
      </c>
      <c r="M57" s="843">
        <f t="shared" si="7"/>
        <v>2431.8432928574175</v>
      </c>
      <c r="N57" s="759">
        <f t="shared" si="3"/>
        <v>324041.13000000012</v>
      </c>
      <c r="O57" s="760">
        <f t="shared" si="4"/>
        <v>44773.54725489884</v>
      </c>
      <c r="P57" s="761" t="s">
        <v>1295</v>
      </c>
      <c r="Q57" s="881"/>
      <c r="R57" s="887"/>
      <c r="S57" s="595">
        <f t="shared" si="5"/>
        <v>3617.5434033721049</v>
      </c>
    </row>
    <row r="58" spans="2:19" ht="11.25" customHeight="1">
      <c r="B58" s="639">
        <v>45467</v>
      </c>
      <c r="C58" s="728" t="s">
        <v>1174</v>
      </c>
      <c r="D58" s="728"/>
      <c r="E58" s="740">
        <v>40</v>
      </c>
      <c r="F58" s="640" t="s">
        <v>125</v>
      </c>
      <c r="G58" s="640" t="s">
        <v>145</v>
      </c>
      <c r="H58" s="642"/>
      <c r="I58" s="758"/>
      <c r="J58" s="643"/>
      <c r="K58" s="709">
        <v>7223</v>
      </c>
      <c r="L58" s="612">
        <f>'통장내역(환율표)'!$D$188</f>
        <v>7.22130001204384</v>
      </c>
      <c r="M58" s="843">
        <f t="shared" si="7"/>
        <v>1000.2354130078137</v>
      </c>
      <c r="N58" s="759">
        <f t="shared" si="3"/>
        <v>316818.13000000012</v>
      </c>
      <c r="O58" s="760">
        <f t="shared" si="4"/>
        <v>43773.311841891024</v>
      </c>
      <c r="P58" s="761" t="s">
        <v>1295</v>
      </c>
      <c r="Q58" s="881"/>
      <c r="R58" s="887"/>
      <c r="S58" s="595">
        <f t="shared" si="5"/>
        <v>2617.3079903642911</v>
      </c>
    </row>
    <row r="59" spans="2:19" ht="11.25" customHeight="1">
      <c r="B59" s="639">
        <v>45467</v>
      </c>
      <c r="C59" s="728" t="s">
        <v>1303</v>
      </c>
      <c r="D59" s="728"/>
      <c r="E59" s="740">
        <v>41</v>
      </c>
      <c r="F59" s="640" t="s">
        <v>107</v>
      </c>
      <c r="G59" s="640"/>
      <c r="H59" s="642"/>
      <c r="I59" s="758"/>
      <c r="J59" s="643"/>
      <c r="K59" s="709">
        <v>2400</v>
      </c>
      <c r="L59" s="612">
        <f>'통장내역(환율표)'!$D$188</f>
        <v>7.22130001204384</v>
      </c>
      <c r="M59" s="843">
        <f t="shared" si="7"/>
        <v>332.35013030856328</v>
      </c>
      <c r="N59" s="759">
        <f t="shared" si="3"/>
        <v>314418.13000000012</v>
      </c>
      <c r="O59" s="760">
        <f t="shared" si="4"/>
        <v>43440.961711582459</v>
      </c>
      <c r="P59" s="761" t="s">
        <v>1295</v>
      </c>
      <c r="Q59" s="881"/>
      <c r="R59" s="887"/>
      <c r="S59" s="595">
        <f t="shared" si="5"/>
        <v>2284.9578600557279</v>
      </c>
    </row>
    <row r="60" spans="2:19" ht="11.25" customHeight="1">
      <c r="B60" s="639">
        <v>45467</v>
      </c>
      <c r="C60" s="728" t="s">
        <v>1302</v>
      </c>
      <c r="D60" s="728"/>
      <c r="E60" s="740">
        <v>42</v>
      </c>
      <c r="F60" s="640" t="s">
        <v>116</v>
      </c>
      <c r="G60" s="640" t="s">
        <v>140</v>
      </c>
      <c r="H60" s="642"/>
      <c r="I60" s="758"/>
      <c r="J60" s="643"/>
      <c r="K60" s="709">
        <v>300</v>
      </c>
      <c r="L60" s="612">
        <f>'통장내역(환율표)'!$D$188</f>
        <v>7.22130001204384</v>
      </c>
      <c r="M60" s="843">
        <f t="shared" si="7"/>
        <v>41.54376628857041</v>
      </c>
      <c r="N60" s="759">
        <f t="shared" si="3"/>
        <v>314118.13000000012</v>
      </c>
      <c r="O60" s="760">
        <f t="shared" si="4"/>
        <v>43399.417945293892</v>
      </c>
      <c r="P60" s="761" t="s">
        <v>1295</v>
      </c>
      <c r="Q60" s="881"/>
      <c r="R60" s="887"/>
      <c r="S60" s="595">
        <f t="shared" si="5"/>
        <v>2243.4140937671573</v>
      </c>
    </row>
    <row r="61" spans="2:19" ht="11.25" customHeight="1">
      <c r="B61" s="639">
        <v>45467</v>
      </c>
      <c r="C61" s="728" t="s">
        <v>250</v>
      </c>
      <c r="D61" s="728"/>
      <c r="E61" s="740">
        <v>43</v>
      </c>
      <c r="F61" s="640" t="s">
        <v>107</v>
      </c>
      <c r="G61" s="640"/>
      <c r="H61" s="642"/>
      <c r="I61" s="758"/>
      <c r="J61" s="643"/>
      <c r="K61" s="709">
        <v>7.2</v>
      </c>
      <c r="L61" s="612">
        <f>'통장내역(환율표)'!$D$188</f>
        <v>7.22130001204384</v>
      </c>
      <c r="M61" s="843">
        <f t="shared" si="7"/>
        <v>0.99705039092568992</v>
      </c>
      <c r="N61" s="759">
        <f t="shared" si="3"/>
        <v>314110.93000000011</v>
      </c>
      <c r="O61" s="760">
        <f t="shared" si="4"/>
        <v>43398.420894902963</v>
      </c>
      <c r="P61" s="761" t="s">
        <v>1295</v>
      </c>
      <c r="Q61" s="881"/>
      <c r="R61" s="887"/>
      <c r="S61" s="595">
        <f t="shared" si="5"/>
        <v>2242.4170433762315</v>
      </c>
    </row>
    <row r="62" spans="2:19" ht="11.25" customHeight="1">
      <c r="B62" s="639">
        <v>45467</v>
      </c>
      <c r="C62" s="728" t="s">
        <v>1305</v>
      </c>
      <c r="D62" s="728"/>
      <c r="E62" s="740">
        <v>44</v>
      </c>
      <c r="F62" s="640" t="s">
        <v>116</v>
      </c>
      <c r="G62" s="640" t="s">
        <v>140</v>
      </c>
      <c r="H62" s="642"/>
      <c r="I62" s="758"/>
      <c r="J62" s="643"/>
      <c r="K62" s="709">
        <v>419</v>
      </c>
      <c r="L62" s="612">
        <f>'통장내역(환율표)'!$D$188</f>
        <v>7.22130001204384</v>
      </c>
      <c r="M62" s="843">
        <f t="shared" si="7"/>
        <v>58.02279358303668</v>
      </c>
      <c r="N62" s="759">
        <f t="shared" si="3"/>
        <v>313691.93000000011</v>
      </c>
      <c r="O62" s="760">
        <f t="shared" si="4"/>
        <v>43340.39810131993</v>
      </c>
      <c r="P62" s="761" t="s">
        <v>1295</v>
      </c>
      <c r="Q62" s="881"/>
      <c r="R62" s="887"/>
      <c r="S62" s="595">
        <f t="shared" si="5"/>
        <v>2184.3942497931948</v>
      </c>
    </row>
    <row r="63" spans="2:19" ht="11.25" customHeight="1">
      <c r="B63" s="639">
        <v>45467</v>
      </c>
      <c r="C63" s="728" t="s">
        <v>1306</v>
      </c>
      <c r="D63" s="728"/>
      <c r="E63" s="740">
        <v>45</v>
      </c>
      <c r="F63" s="640" t="s">
        <v>107</v>
      </c>
      <c r="G63" s="640"/>
      <c r="H63" s="642"/>
      <c r="I63" s="758"/>
      <c r="J63" s="643"/>
      <c r="K63" s="709">
        <v>31</v>
      </c>
      <c r="L63" s="612">
        <f>'통장내역(환율표)'!$D$188</f>
        <v>7.22130001204384</v>
      </c>
      <c r="M63" s="843">
        <f t="shared" si="7"/>
        <v>4.2928558498189426</v>
      </c>
      <c r="N63" s="759">
        <f t="shared" si="3"/>
        <v>313660.93000000011</v>
      </c>
      <c r="O63" s="760">
        <f t="shared" si="4"/>
        <v>43336.105245470113</v>
      </c>
      <c r="P63" s="761" t="s">
        <v>1295</v>
      </c>
      <c r="Q63" s="881"/>
      <c r="R63" s="887"/>
      <c r="S63" s="595">
        <f t="shared" si="5"/>
        <v>2180.101393943376</v>
      </c>
    </row>
    <row r="64" spans="2:19" ht="11.25" customHeight="1">
      <c r="B64" s="639">
        <v>45467</v>
      </c>
      <c r="C64" s="728" t="s">
        <v>809</v>
      </c>
      <c r="D64" s="728"/>
      <c r="E64" s="740">
        <v>46</v>
      </c>
      <c r="F64" s="640" t="s">
        <v>125</v>
      </c>
      <c r="G64" s="640" t="s">
        <v>145</v>
      </c>
      <c r="H64" s="642"/>
      <c r="I64" s="758"/>
      <c r="J64" s="643"/>
      <c r="K64" s="709">
        <v>1224.5</v>
      </c>
      <c r="L64" s="612">
        <f>'통장내역(환율표)'!$D$188</f>
        <v>7.22130001204384</v>
      </c>
      <c r="M64" s="843">
        <f t="shared" si="7"/>
        <v>169.56780606784824</v>
      </c>
      <c r="N64" s="759">
        <f t="shared" si="3"/>
        <v>312436.43000000011</v>
      </c>
      <c r="O64" s="760">
        <f t="shared" si="4"/>
        <v>43166.537439402266</v>
      </c>
      <c r="P64" s="761" t="s">
        <v>1295</v>
      </c>
      <c r="Q64" s="881"/>
      <c r="R64" s="887"/>
      <c r="S64" s="595">
        <f t="shared" si="5"/>
        <v>2010.5335878755277</v>
      </c>
    </row>
    <row r="65" spans="2:19" ht="11.25" customHeight="1">
      <c r="B65" s="639">
        <v>45467</v>
      </c>
      <c r="C65" s="728" t="s">
        <v>1307</v>
      </c>
      <c r="D65" s="728"/>
      <c r="E65" s="740">
        <v>47</v>
      </c>
      <c r="F65" s="640" t="s">
        <v>146</v>
      </c>
      <c r="G65" s="640" t="s">
        <v>147</v>
      </c>
      <c r="H65" s="642"/>
      <c r="I65" s="758"/>
      <c r="J65" s="643"/>
      <c r="K65" s="709">
        <v>9369.3700000000008</v>
      </c>
      <c r="L65" s="612">
        <f>'통장내역(환율표)'!$D$188</f>
        <v>7.22130001204384</v>
      </c>
      <c r="M65" s="843">
        <f t="shared" si="7"/>
        <v>1297.4630585038101</v>
      </c>
      <c r="N65" s="759">
        <f t="shared" si="3"/>
        <v>303067.06000000011</v>
      </c>
      <c r="O65" s="760">
        <f t="shared" si="4"/>
        <v>41869.074380898455</v>
      </c>
      <c r="P65" s="761" t="s">
        <v>1295</v>
      </c>
      <c r="Q65" s="881"/>
      <c r="R65" s="887"/>
      <c r="S65" s="595">
        <f t="shared" si="5"/>
        <v>713.07052937171761</v>
      </c>
    </row>
    <row r="66" spans="2:19" ht="11.25" customHeight="1">
      <c r="B66" s="639">
        <v>45467</v>
      </c>
      <c r="C66" s="728" t="s">
        <v>250</v>
      </c>
      <c r="D66" s="728"/>
      <c r="E66" s="740">
        <v>48</v>
      </c>
      <c r="F66" s="640" t="s">
        <v>107</v>
      </c>
      <c r="G66" s="642"/>
      <c r="H66" s="642"/>
      <c r="I66" s="758"/>
      <c r="J66" s="643"/>
      <c r="K66" s="709">
        <v>7.2</v>
      </c>
      <c r="L66" s="612">
        <f>'통장내역(환율표)'!$D$188</f>
        <v>7.22130001204384</v>
      </c>
      <c r="M66" s="843">
        <f t="shared" si="7"/>
        <v>0.99705039092568992</v>
      </c>
      <c r="N66" s="759">
        <f t="shared" si="3"/>
        <v>303059.8600000001</v>
      </c>
      <c r="O66" s="760">
        <f t="shared" si="4"/>
        <v>41868.077330507527</v>
      </c>
      <c r="P66" s="761" t="s">
        <v>1295</v>
      </c>
      <c r="Q66" s="881"/>
      <c r="R66" s="887"/>
      <c r="S66" s="595">
        <f t="shared" si="5"/>
        <v>712.07347898079195</v>
      </c>
    </row>
    <row r="67" spans="2:19" ht="11.25" customHeight="1">
      <c r="B67" s="639">
        <v>45467</v>
      </c>
      <c r="C67" s="728" t="s">
        <v>1308</v>
      </c>
      <c r="D67" s="642"/>
      <c r="E67" s="740">
        <v>49</v>
      </c>
      <c r="F67" s="640" t="s">
        <v>125</v>
      </c>
      <c r="G67" s="640" t="s">
        <v>145</v>
      </c>
      <c r="H67" s="642"/>
      <c r="I67" s="758"/>
      <c r="J67" s="643"/>
      <c r="K67" s="709">
        <v>1978.24</v>
      </c>
      <c r="L67" s="612">
        <f>'통장내역(환율표)'!$D$188</f>
        <v>7.22130001204384</v>
      </c>
      <c r="M67" s="843">
        <f t="shared" ref="M67:M97" si="8">K67/L67</f>
        <v>273.94513407567177</v>
      </c>
      <c r="N67" s="759">
        <f t="shared" si="3"/>
        <v>301081.62000000011</v>
      </c>
      <c r="O67" s="760">
        <f t="shared" si="4"/>
        <v>41594.132196431856</v>
      </c>
      <c r="P67" s="761" t="s">
        <v>1295</v>
      </c>
      <c r="Q67" s="881"/>
      <c r="R67" s="887"/>
      <c r="S67" s="595">
        <f t="shared" si="5"/>
        <v>438.12834490512017</v>
      </c>
    </row>
    <row r="68" spans="2:19" ht="11.25" customHeight="1">
      <c r="B68" s="639">
        <v>45467</v>
      </c>
      <c r="C68" s="728" t="s">
        <v>1262</v>
      </c>
      <c r="D68" s="642"/>
      <c r="E68" s="740">
        <v>50</v>
      </c>
      <c r="F68" s="640" t="s">
        <v>107</v>
      </c>
      <c r="G68" s="642"/>
      <c r="H68" s="642"/>
      <c r="I68" s="758"/>
      <c r="J68" s="643"/>
      <c r="K68" s="709">
        <v>12</v>
      </c>
      <c r="L68" s="612">
        <f>'통장내역(환율표)'!$D$188</f>
        <v>7.22130001204384</v>
      </c>
      <c r="M68" s="843">
        <f t="shared" si="8"/>
        <v>1.6617506515428166</v>
      </c>
      <c r="N68" s="759">
        <f t="shared" si="3"/>
        <v>301069.62000000011</v>
      </c>
      <c r="O68" s="760">
        <f t="shared" si="4"/>
        <v>41592.470445780316</v>
      </c>
      <c r="P68" s="761" t="s">
        <v>1295</v>
      </c>
      <c r="Q68" s="881"/>
      <c r="R68" s="887"/>
      <c r="S68" s="595">
        <f t="shared" si="5"/>
        <v>436.46659425357734</v>
      </c>
    </row>
    <row r="69" spans="2:19" ht="11.25" customHeight="1">
      <c r="B69" s="775">
        <v>45467</v>
      </c>
      <c r="C69" s="786" t="s">
        <v>1310</v>
      </c>
      <c r="D69" s="787"/>
      <c r="E69" s="777">
        <v>51</v>
      </c>
      <c r="F69" s="778" t="s">
        <v>13</v>
      </c>
      <c r="G69" s="787" t="s">
        <v>14</v>
      </c>
      <c r="H69" s="787"/>
      <c r="I69" s="779"/>
      <c r="J69" s="780"/>
      <c r="K69" s="899">
        <f>L69*M69</f>
        <v>3151.8808162567752</v>
      </c>
      <c r="L69" s="781">
        <f>'통장내역(환율표)'!$D$188</f>
        <v>7.22130001204384</v>
      </c>
      <c r="M69" s="843">
        <v>436.47</v>
      </c>
      <c r="N69" s="782">
        <f t="shared" si="3"/>
        <v>297917.73918374331</v>
      </c>
      <c r="O69" s="783">
        <f t="shared" si="4"/>
        <v>41156.000445780315</v>
      </c>
      <c r="P69" s="784" t="s">
        <v>1295</v>
      </c>
      <c r="Q69" s="903"/>
      <c r="R69" s="941"/>
      <c r="S69" s="595">
        <f t="shared" si="5"/>
        <v>-3.4057464226862066E-3</v>
      </c>
    </row>
    <row r="70" spans="2:19" ht="11.25" customHeight="1">
      <c r="B70" s="775">
        <v>45467</v>
      </c>
      <c r="C70" s="786" t="s">
        <v>1310</v>
      </c>
      <c r="D70" s="787"/>
      <c r="E70" s="777">
        <v>51</v>
      </c>
      <c r="F70" s="778" t="s">
        <v>13</v>
      </c>
      <c r="G70" s="787" t="s">
        <v>14</v>
      </c>
      <c r="H70" s="787"/>
      <c r="I70" s="779"/>
      <c r="J70" s="780"/>
      <c r="K70" s="899">
        <f>4520.98-K69</f>
        <v>1369.0991837432243</v>
      </c>
      <c r="L70" s="781">
        <f>'통장내역(환율표)'!$D$194</f>
        <v>7.2405999125279425</v>
      </c>
      <c r="M70" s="691">
        <f t="shared" si="8"/>
        <v>189.08642934052472</v>
      </c>
      <c r="N70" s="782">
        <f t="shared" si="3"/>
        <v>296548.64000000007</v>
      </c>
      <c r="O70" s="783">
        <f t="shared" si="4"/>
        <v>40966.91401643979</v>
      </c>
      <c r="P70" s="784" t="s">
        <v>1315</v>
      </c>
      <c r="Q70" s="903"/>
      <c r="R70" s="941"/>
      <c r="S70" s="595">
        <f>41156-M70</f>
        <v>40966.913570659475</v>
      </c>
    </row>
    <row r="71" spans="2:19" ht="11.25" customHeight="1">
      <c r="B71" s="639">
        <v>45467</v>
      </c>
      <c r="C71" s="728" t="s">
        <v>1309</v>
      </c>
      <c r="D71" s="642"/>
      <c r="E71" s="740">
        <v>52</v>
      </c>
      <c r="F71" s="640" t="s">
        <v>13</v>
      </c>
      <c r="G71" s="642" t="s">
        <v>14</v>
      </c>
      <c r="H71" s="642"/>
      <c r="I71" s="758"/>
      <c r="J71" s="643"/>
      <c r="K71" s="709">
        <v>1108.93</v>
      </c>
      <c r="L71" s="612">
        <f>'통장내역(환율표)'!$D$194</f>
        <v>7.2405999125279425</v>
      </c>
      <c r="M71" s="691">
        <f t="shared" si="8"/>
        <v>153.15443656557935</v>
      </c>
      <c r="N71" s="759">
        <f t="shared" si="3"/>
        <v>295439.71000000008</v>
      </c>
      <c r="O71" s="760">
        <f t="shared" si="4"/>
        <v>40813.759579874211</v>
      </c>
      <c r="P71" s="761" t="s">
        <v>1315</v>
      </c>
      <c r="Q71" s="881"/>
      <c r="R71" s="887"/>
      <c r="S71" s="595">
        <f>S70-M71</f>
        <v>40813.759134093896</v>
      </c>
    </row>
    <row r="72" spans="2:19" ht="11.25" customHeight="1">
      <c r="B72" s="639">
        <v>45467</v>
      </c>
      <c r="C72" s="728" t="s">
        <v>1261</v>
      </c>
      <c r="D72" s="642"/>
      <c r="E72" s="740">
        <v>53</v>
      </c>
      <c r="F72" s="640" t="s">
        <v>116</v>
      </c>
      <c r="G72" s="640" t="s">
        <v>140</v>
      </c>
      <c r="H72" s="642"/>
      <c r="I72" s="758"/>
      <c r="J72" s="643"/>
      <c r="K72" s="709">
        <v>299</v>
      </c>
      <c r="L72" s="612">
        <f>'통장내역(환율표)'!$D$194</f>
        <v>7.2405999125279425</v>
      </c>
      <c r="M72" s="691">
        <v>41.29</v>
      </c>
      <c r="N72" s="759">
        <f t="shared" si="3"/>
        <v>295140.71000000008</v>
      </c>
      <c r="O72" s="760">
        <f t="shared" si="4"/>
        <v>40772.46957987421</v>
      </c>
      <c r="P72" s="761" t="s">
        <v>1315</v>
      </c>
      <c r="Q72" s="881"/>
      <c r="R72" s="887"/>
      <c r="S72" s="595">
        <f t="shared" ref="S72:S97" si="9">S71-M72</f>
        <v>40772.469134093895</v>
      </c>
    </row>
    <row r="73" spans="2:19" ht="11.25" customHeight="1">
      <c r="B73" s="639">
        <v>45467</v>
      </c>
      <c r="C73" s="728" t="s">
        <v>250</v>
      </c>
      <c r="D73" s="642"/>
      <c r="E73" s="740">
        <v>54</v>
      </c>
      <c r="F73" s="640" t="s">
        <v>107</v>
      </c>
      <c r="G73" s="642"/>
      <c r="H73" s="642"/>
      <c r="I73" s="758"/>
      <c r="J73" s="643"/>
      <c r="K73" s="709">
        <v>3.6</v>
      </c>
      <c r="L73" s="612">
        <f>'통장내역(환율표)'!$D$194</f>
        <v>7.2405999125279425</v>
      </c>
      <c r="M73" s="691">
        <f t="shared" si="8"/>
        <v>0.49719637094864921</v>
      </c>
      <c r="N73" s="759">
        <f t="shared" si="3"/>
        <v>295137.1100000001</v>
      </c>
      <c r="O73" s="760">
        <f t="shared" si="4"/>
        <v>40771.972383503264</v>
      </c>
      <c r="P73" s="761" t="s">
        <v>1315</v>
      </c>
      <c r="Q73" s="881"/>
      <c r="R73" s="887"/>
      <c r="S73" s="595">
        <f t="shared" si="9"/>
        <v>40771.971937722948</v>
      </c>
    </row>
    <row r="74" spans="2:19" ht="11.25" customHeight="1">
      <c r="B74" s="639">
        <v>45467</v>
      </c>
      <c r="C74" s="728" t="s">
        <v>1313</v>
      </c>
      <c r="D74" s="642"/>
      <c r="E74" s="740">
        <v>55</v>
      </c>
      <c r="F74" s="640" t="s">
        <v>107</v>
      </c>
      <c r="G74" s="642"/>
      <c r="H74" s="642"/>
      <c r="I74" s="758"/>
      <c r="J74" s="643"/>
      <c r="K74" s="944">
        <v>3286</v>
      </c>
      <c r="L74" s="612">
        <f>'통장내역(환율표)'!$D$194</f>
        <v>7.2405999125279425</v>
      </c>
      <c r="M74" s="691">
        <f t="shared" si="8"/>
        <v>453.82979859368368</v>
      </c>
      <c r="N74" s="759">
        <f t="shared" si="3"/>
        <v>291851.1100000001</v>
      </c>
      <c r="O74" s="760">
        <f t="shared" si="4"/>
        <v>40318.142584909583</v>
      </c>
      <c r="P74" s="761" t="s">
        <v>1315</v>
      </c>
      <c r="Q74" s="881"/>
      <c r="R74" s="887"/>
      <c r="S74" s="595">
        <f t="shared" si="9"/>
        <v>40318.142139129268</v>
      </c>
    </row>
    <row r="75" spans="2:19" ht="11.25" customHeight="1">
      <c r="B75" s="639">
        <v>45467</v>
      </c>
      <c r="C75" s="728" t="s">
        <v>250</v>
      </c>
      <c r="D75" s="642"/>
      <c r="E75" s="740">
        <v>56</v>
      </c>
      <c r="F75" s="640" t="s">
        <v>107</v>
      </c>
      <c r="G75" s="642"/>
      <c r="H75" s="937"/>
      <c r="I75" s="758"/>
      <c r="J75" s="643"/>
      <c r="K75" s="709">
        <v>3.6</v>
      </c>
      <c r="L75" s="612">
        <f>'통장내역(환율표)'!$D$194</f>
        <v>7.2405999125279425</v>
      </c>
      <c r="M75" s="691">
        <f t="shared" si="8"/>
        <v>0.49719637094864921</v>
      </c>
      <c r="N75" s="759">
        <f t="shared" si="3"/>
        <v>291847.51000000013</v>
      </c>
      <c r="O75" s="760">
        <f t="shared" si="4"/>
        <v>40317.645388538636</v>
      </c>
      <c r="P75" s="761" t="s">
        <v>1315</v>
      </c>
      <c r="Q75" s="881"/>
      <c r="R75" s="887"/>
      <c r="S75" s="595">
        <f t="shared" si="9"/>
        <v>40317.644942758321</v>
      </c>
    </row>
    <row r="76" spans="2:19" ht="11.25" customHeight="1">
      <c r="B76" s="639">
        <v>45467</v>
      </c>
      <c r="C76" s="728" t="s">
        <v>892</v>
      </c>
      <c r="D76" s="642"/>
      <c r="E76" s="740">
        <v>57</v>
      </c>
      <c r="F76" s="640" t="s">
        <v>107</v>
      </c>
      <c r="G76" s="640"/>
      <c r="H76" s="642"/>
      <c r="I76" s="758"/>
      <c r="J76" s="643"/>
      <c r="K76" s="709">
        <v>16000</v>
      </c>
      <c r="L76" s="612">
        <f>'통장내역(환율표)'!$D$194</f>
        <v>7.2405999125279425</v>
      </c>
      <c r="M76" s="691">
        <f t="shared" si="8"/>
        <v>2209.761648660663</v>
      </c>
      <c r="N76" s="759">
        <f t="shared" si="3"/>
        <v>275847.51000000013</v>
      </c>
      <c r="O76" s="760">
        <f t="shared" si="4"/>
        <v>38107.883739877972</v>
      </c>
      <c r="P76" s="761" t="s">
        <v>1315</v>
      </c>
      <c r="Q76" s="881"/>
      <c r="R76" s="887" t="s">
        <v>211</v>
      </c>
      <c r="S76" s="595">
        <f t="shared" si="9"/>
        <v>38107.883294097657</v>
      </c>
    </row>
    <row r="77" spans="2:19" ht="11.25" customHeight="1">
      <c r="B77" s="639">
        <v>45467</v>
      </c>
      <c r="C77" s="728" t="s">
        <v>947</v>
      </c>
      <c r="D77" s="642"/>
      <c r="E77" s="740">
        <v>57</v>
      </c>
      <c r="F77" s="640" t="s">
        <v>107</v>
      </c>
      <c r="G77" s="640"/>
      <c r="H77" s="642"/>
      <c r="I77" s="758"/>
      <c r="J77" s="643"/>
      <c r="K77" s="709">
        <v>24000</v>
      </c>
      <c r="L77" s="612">
        <f>'통장내역(환율표)'!$D$194</f>
        <v>7.2405999125279425</v>
      </c>
      <c r="M77" s="691">
        <f t="shared" si="8"/>
        <v>3314.642472990995</v>
      </c>
      <c r="N77" s="759">
        <f t="shared" si="3"/>
        <v>251847.51000000013</v>
      </c>
      <c r="O77" s="760">
        <f t="shared" si="4"/>
        <v>34793.24126688698</v>
      </c>
      <c r="P77" s="761" t="s">
        <v>1315</v>
      </c>
      <c r="Q77" s="881"/>
      <c r="R77" s="887" t="s">
        <v>211</v>
      </c>
      <c r="S77" s="595">
        <f t="shared" si="9"/>
        <v>34793.240821106665</v>
      </c>
    </row>
    <row r="78" spans="2:19" ht="11.25" customHeight="1">
      <c r="B78" s="639">
        <v>45467</v>
      </c>
      <c r="C78" s="728" t="s">
        <v>894</v>
      </c>
      <c r="D78" s="642"/>
      <c r="E78" s="740">
        <v>57</v>
      </c>
      <c r="F78" s="640" t="s">
        <v>107</v>
      </c>
      <c r="G78" s="640"/>
      <c r="H78" s="642"/>
      <c r="I78" s="758"/>
      <c r="J78" s="643"/>
      <c r="K78" s="709">
        <v>5125.99</v>
      </c>
      <c r="L78" s="612">
        <f>'통장내역(환율표)'!$D$194</f>
        <v>7.2405999125279425</v>
      </c>
      <c r="M78" s="691">
        <f t="shared" si="8"/>
        <v>707.95100708862958</v>
      </c>
      <c r="N78" s="759">
        <f t="shared" si="3"/>
        <v>246721.52000000014</v>
      </c>
      <c r="O78" s="760">
        <f t="shared" si="4"/>
        <v>34085.290259798348</v>
      </c>
      <c r="P78" s="761" t="s">
        <v>1315</v>
      </c>
      <c r="Q78" s="881"/>
      <c r="R78" s="887" t="s">
        <v>211</v>
      </c>
      <c r="S78" s="595">
        <f t="shared" si="9"/>
        <v>34085.289814018033</v>
      </c>
    </row>
    <row r="79" spans="2:19" ht="11.25" customHeight="1">
      <c r="B79" s="639">
        <v>45467</v>
      </c>
      <c r="C79" s="728" t="s">
        <v>895</v>
      </c>
      <c r="D79" s="642"/>
      <c r="E79" s="740">
        <v>57</v>
      </c>
      <c r="F79" s="640" t="s">
        <v>107</v>
      </c>
      <c r="G79" s="640"/>
      <c r="H79" s="642"/>
      <c r="I79" s="758"/>
      <c r="J79" s="643"/>
      <c r="K79" s="709">
        <v>6673.5999999999985</v>
      </c>
      <c r="L79" s="612">
        <f>'통장내역(환율표)'!$D$194</f>
        <v>7.2405999125279425</v>
      </c>
      <c r="M79" s="691">
        <f t="shared" si="8"/>
        <v>921.69158365636247</v>
      </c>
      <c r="N79" s="759">
        <f t="shared" si="3"/>
        <v>240047.92000000013</v>
      </c>
      <c r="O79" s="760">
        <f t="shared" si="4"/>
        <v>33163.598676141984</v>
      </c>
      <c r="P79" s="761" t="s">
        <v>1315</v>
      </c>
      <c r="Q79" s="881"/>
      <c r="R79" s="887" t="s">
        <v>211</v>
      </c>
      <c r="S79" s="595">
        <f t="shared" si="9"/>
        <v>33163.598230361669</v>
      </c>
    </row>
    <row r="80" spans="2:19" ht="11.25" customHeight="1">
      <c r="B80" s="639">
        <v>45467</v>
      </c>
      <c r="C80" s="728" t="s">
        <v>899</v>
      </c>
      <c r="D80" s="642"/>
      <c r="E80" s="740">
        <v>57</v>
      </c>
      <c r="F80" s="640" t="s">
        <v>107</v>
      </c>
      <c r="G80" s="640"/>
      <c r="H80" s="642"/>
      <c r="I80" s="758"/>
      <c r="J80" s="643"/>
      <c r="K80" s="709">
        <v>300</v>
      </c>
      <c r="L80" s="612">
        <f>'통장내역(환율표)'!$D$194</f>
        <v>7.2405999125279425</v>
      </c>
      <c r="M80" s="691">
        <f t="shared" si="8"/>
        <v>41.433030912387437</v>
      </c>
      <c r="N80" s="759">
        <f t="shared" si="3"/>
        <v>239747.92000000013</v>
      </c>
      <c r="O80" s="760">
        <f t="shared" si="4"/>
        <v>33122.165645229594</v>
      </c>
      <c r="P80" s="761" t="s">
        <v>1315</v>
      </c>
      <c r="Q80" s="881"/>
      <c r="R80" s="887" t="s">
        <v>211</v>
      </c>
      <c r="S80" s="595">
        <f t="shared" si="9"/>
        <v>33122.165199449279</v>
      </c>
    </row>
    <row r="81" spans="2:19" ht="11.25" customHeight="1">
      <c r="B81" s="639">
        <v>45467</v>
      </c>
      <c r="C81" s="728" t="s">
        <v>892</v>
      </c>
      <c r="D81" s="642"/>
      <c r="E81" s="740">
        <v>57</v>
      </c>
      <c r="F81" s="640" t="s">
        <v>107</v>
      </c>
      <c r="G81" s="640"/>
      <c r="H81" s="642"/>
      <c r="I81" s="758"/>
      <c r="J81" s="643"/>
      <c r="K81" s="709">
        <v>15000</v>
      </c>
      <c r="L81" s="612">
        <f>'통장내역(환율표)'!$D$194</f>
        <v>7.2405999125279425</v>
      </c>
      <c r="M81" s="691">
        <f t="shared" si="8"/>
        <v>2071.6515456193715</v>
      </c>
      <c r="N81" s="759">
        <f t="shared" si="3"/>
        <v>224747.92000000013</v>
      </c>
      <c r="O81" s="760">
        <f t="shared" si="4"/>
        <v>31050.514099610224</v>
      </c>
      <c r="P81" s="761" t="s">
        <v>1315</v>
      </c>
      <c r="Q81" s="881"/>
      <c r="R81" s="887" t="s">
        <v>188</v>
      </c>
      <c r="S81" s="595">
        <f t="shared" si="9"/>
        <v>31050.513653829908</v>
      </c>
    </row>
    <row r="82" spans="2:19" ht="11.25" customHeight="1">
      <c r="B82" s="639">
        <v>45467</v>
      </c>
      <c r="C82" s="728" t="s">
        <v>947</v>
      </c>
      <c r="D82" s="642"/>
      <c r="E82" s="740">
        <v>57</v>
      </c>
      <c r="F82" s="640" t="s">
        <v>107</v>
      </c>
      <c r="G82" s="640"/>
      <c r="H82" s="642"/>
      <c r="I82" s="758"/>
      <c r="J82" s="643"/>
      <c r="K82" s="709">
        <v>22000</v>
      </c>
      <c r="L82" s="612">
        <f>'통장내역(환율표)'!$D$194</f>
        <v>7.2405999125279425</v>
      </c>
      <c r="M82" s="691">
        <f t="shared" si="8"/>
        <v>3038.422266908412</v>
      </c>
      <c r="N82" s="759">
        <f t="shared" si="3"/>
        <v>202747.92000000013</v>
      </c>
      <c r="O82" s="760">
        <f t="shared" si="4"/>
        <v>28012.091832701812</v>
      </c>
      <c r="P82" s="761" t="s">
        <v>1315</v>
      </c>
      <c r="Q82" s="881"/>
      <c r="R82" s="887" t="s">
        <v>188</v>
      </c>
      <c r="S82" s="595">
        <f t="shared" si="9"/>
        <v>28012.091386921496</v>
      </c>
    </row>
    <row r="83" spans="2:19" ht="11.25" customHeight="1">
      <c r="B83" s="639">
        <v>45467</v>
      </c>
      <c r="C83" s="728" t="s">
        <v>894</v>
      </c>
      <c r="D83" s="642"/>
      <c r="E83" s="740">
        <v>57</v>
      </c>
      <c r="F83" s="640" t="s">
        <v>107</v>
      </c>
      <c r="G83" s="640"/>
      <c r="H83" s="642"/>
      <c r="I83" s="758"/>
      <c r="J83" s="643"/>
      <c r="K83" s="709">
        <v>8558.1899999999987</v>
      </c>
      <c r="L83" s="612">
        <f>'통장내역(환율표)'!$D$194</f>
        <v>7.2405999125279425</v>
      </c>
      <c r="M83" s="691">
        <f t="shared" si="8"/>
        <v>1181.9725027469499</v>
      </c>
      <c r="N83" s="759">
        <f t="shared" si="3"/>
        <v>194189.73000000013</v>
      </c>
      <c r="O83" s="760">
        <f t="shared" si="4"/>
        <v>26830.119329954861</v>
      </c>
      <c r="P83" s="761" t="s">
        <v>1315</v>
      </c>
      <c r="Q83" s="881"/>
      <c r="R83" s="887" t="s">
        <v>188</v>
      </c>
      <c r="S83" s="595">
        <f t="shared" si="9"/>
        <v>26830.118884174546</v>
      </c>
    </row>
    <row r="84" spans="2:19" ht="11.25" customHeight="1">
      <c r="B84" s="639">
        <v>45467</v>
      </c>
      <c r="C84" s="728" t="s">
        <v>895</v>
      </c>
      <c r="D84" s="642"/>
      <c r="E84" s="740">
        <v>57</v>
      </c>
      <c r="F84" s="640" t="s">
        <v>107</v>
      </c>
      <c r="G84" s="640"/>
      <c r="H84" s="642"/>
      <c r="I84" s="758"/>
      <c r="J84" s="643"/>
      <c r="K84" s="709">
        <v>5669</v>
      </c>
      <c r="L84" s="612">
        <f>'통장내역(환율표)'!$D$194</f>
        <v>7.2405999125279425</v>
      </c>
      <c r="M84" s="691">
        <f t="shared" si="8"/>
        <v>782.9461741410812</v>
      </c>
      <c r="N84" s="759">
        <f t="shared" ref="N84:N97" si="10">N83+H84-K84</f>
        <v>188520.73000000013</v>
      </c>
      <c r="O84" s="760">
        <f t="shared" ref="O84:O97" si="11">O83+J84-M84</f>
        <v>26047.17315581378</v>
      </c>
      <c r="P84" s="761" t="s">
        <v>1315</v>
      </c>
      <c r="Q84" s="881"/>
      <c r="R84" s="887" t="s">
        <v>188</v>
      </c>
      <c r="S84" s="595">
        <f t="shared" si="9"/>
        <v>26047.172710033465</v>
      </c>
    </row>
    <row r="85" spans="2:19" ht="11.25" customHeight="1">
      <c r="B85" s="639">
        <v>45467</v>
      </c>
      <c r="C85" s="728" t="s">
        <v>899</v>
      </c>
      <c r="D85" s="642"/>
      <c r="E85" s="740">
        <v>57</v>
      </c>
      <c r="F85" s="640" t="s">
        <v>107</v>
      </c>
      <c r="G85" s="640"/>
      <c r="H85" s="642"/>
      <c r="I85" s="758"/>
      <c r="J85" s="643"/>
      <c r="K85" s="709">
        <v>300</v>
      </c>
      <c r="L85" s="612">
        <f>'통장내역(환율표)'!$D$194</f>
        <v>7.2405999125279425</v>
      </c>
      <c r="M85" s="691">
        <f t="shared" si="8"/>
        <v>41.433030912387437</v>
      </c>
      <c r="N85" s="759">
        <f t="shared" si="10"/>
        <v>188220.73000000013</v>
      </c>
      <c r="O85" s="760">
        <f t="shared" si="11"/>
        <v>26005.740124901393</v>
      </c>
      <c r="P85" s="761" t="s">
        <v>1315</v>
      </c>
      <c r="Q85" s="881"/>
      <c r="R85" s="887" t="s">
        <v>188</v>
      </c>
      <c r="S85" s="595">
        <f t="shared" si="9"/>
        <v>26005.739679121078</v>
      </c>
    </row>
    <row r="86" spans="2:19" ht="11.25" customHeight="1">
      <c r="B86" s="639">
        <v>45467</v>
      </c>
      <c r="C86" s="728" t="s">
        <v>898</v>
      </c>
      <c r="D86" s="642"/>
      <c r="E86" s="740">
        <v>57</v>
      </c>
      <c r="F86" s="640" t="s">
        <v>107</v>
      </c>
      <c r="G86" s="640"/>
      <c r="H86" s="642"/>
      <c r="I86" s="758"/>
      <c r="J86" s="643"/>
      <c r="K86" s="709">
        <v>25000</v>
      </c>
      <c r="L86" s="612">
        <f>'통장내역(환율표)'!$D$194</f>
        <v>7.2405999125279425</v>
      </c>
      <c r="M86" s="691">
        <f t="shared" si="8"/>
        <v>3452.752576032286</v>
      </c>
      <c r="N86" s="759">
        <f t="shared" si="10"/>
        <v>163220.73000000013</v>
      </c>
      <c r="O86" s="760">
        <f t="shared" si="11"/>
        <v>22552.987548869107</v>
      </c>
      <c r="P86" s="761" t="s">
        <v>1315</v>
      </c>
      <c r="Q86" s="881"/>
      <c r="R86" s="887" t="s">
        <v>951</v>
      </c>
      <c r="S86" s="595">
        <f t="shared" si="9"/>
        <v>22552.987103088792</v>
      </c>
    </row>
    <row r="87" spans="2:19" ht="11.25" customHeight="1">
      <c r="B87" s="639">
        <v>45467</v>
      </c>
      <c r="C87" s="728" t="s">
        <v>948</v>
      </c>
      <c r="D87" s="642"/>
      <c r="E87" s="740">
        <v>57</v>
      </c>
      <c r="F87" s="640" t="s">
        <v>107</v>
      </c>
      <c r="G87" s="640"/>
      <c r="H87" s="642"/>
      <c r="I87" s="758"/>
      <c r="J87" s="643"/>
      <c r="K87" s="709">
        <v>6936.19</v>
      </c>
      <c r="L87" s="612">
        <f>'통장내역(환율표)'!$D$194</f>
        <v>7.2405999125279425</v>
      </c>
      <c r="M87" s="691">
        <f t="shared" si="8"/>
        <v>957.95791561397527</v>
      </c>
      <c r="N87" s="759">
        <f t="shared" si="10"/>
        <v>156284.54000000012</v>
      </c>
      <c r="O87" s="760">
        <f t="shared" si="11"/>
        <v>21595.02963325513</v>
      </c>
      <c r="P87" s="761" t="s">
        <v>1315</v>
      </c>
      <c r="Q87" s="881"/>
      <c r="R87" s="887" t="s">
        <v>951</v>
      </c>
      <c r="S87" s="595">
        <f t="shared" si="9"/>
        <v>21595.029187474815</v>
      </c>
    </row>
    <row r="88" spans="2:19" ht="11.25" customHeight="1">
      <c r="B88" s="639">
        <v>45467</v>
      </c>
      <c r="C88" s="728" t="s">
        <v>899</v>
      </c>
      <c r="D88" s="642"/>
      <c r="E88" s="740">
        <v>57</v>
      </c>
      <c r="F88" s="640" t="s">
        <v>107</v>
      </c>
      <c r="G88" s="640"/>
      <c r="H88" s="642"/>
      <c r="I88" s="758"/>
      <c r="J88" s="643"/>
      <c r="K88" s="709">
        <v>300</v>
      </c>
      <c r="L88" s="612">
        <f>'통장내역(환율표)'!$D$194</f>
        <v>7.2405999125279425</v>
      </c>
      <c r="M88" s="691">
        <f t="shared" si="8"/>
        <v>41.433030912387437</v>
      </c>
      <c r="N88" s="759">
        <f t="shared" si="10"/>
        <v>155984.54000000012</v>
      </c>
      <c r="O88" s="760">
        <f t="shared" si="11"/>
        <v>21553.596602342743</v>
      </c>
      <c r="P88" s="761" t="s">
        <v>1315</v>
      </c>
      <c r="Q88" s="881"/>
      <c r="R88" s="887" t="s">
        <v>951</v>
      </c>
      <c r="S88" s="595">
        <f t="shared" si="9"/>
        <v>21553.596156562427</v>
      </c>
    </row>
    <row r="89" spans="2:19" ht="11.25" customHeight="1">
      <c r="B89" s="639">
        <v>45467</v>
      </c>
      <c r="C89" s="728" t="s">
        <v>992</v>
      </c>
      <c r="D89" s="642"/>
      <c r="E89" s="740">
        <v>57</v>
      </c>
      <c r="F89" s="640" t="s">
        <v>107</v>
      </c>
      <c r="G89" s="640"/>
      <c r="H89" s="642"/>
      <c r="I89" s="758"/>
      <c r="J89" s="643"/>
      <c r="K89" s="709">
        <v>400</v>
      </c>
      <c r="L89" s="612">
        <f>'통장내역(환율표)'!$D$194</f>
        <v>7.2405999125279425</v>
      </c>
      <c r="M89" s="691">
        <f t="shared" si="8"/>
        <v>55.244041216516578</v>
      </c>
      <c r="N89" s="759">
        <f t="shared" si="10"/>
        <v>155584.54000000012</v>
      </c>
      <c r="O89" s="760">
        <f t="shared" si="11"/>
        <v>21498.352561126227</v>
      </c>
      <c r="P89" s="761" t="s">
        <v>1315</v>
      </c>
      <c r="Q89" s="881"/>
      <c r="R89" s="887" t="s">
        <v>951</v>
      </c>
      <c r="S89" s="595">
        <f t="shared" si="9"/>
        <v>21498.352115345911</v>
      </c>
    </row>
    <row r="90" spans="2:19" ht="11.25" customHeight="1">
      <c r="B90" s="639">
        <v>45467</v>
      </c>
      <c r="C90" s="728" t="s">
        <v>898</v>
      </c>
      <c r="D90" s="642"/>
      <c r="E90" s="740">
        <v>57</v>
      </c>
      <c r="F90" s="640" t="s">
        <v>107</v>
      </c>
      <c r="G90" s="640"/>
      <c r="H90" s="642"/>
      <c r="I90" s="758"/>
      <c r="J90" s="643"/>
      <c r="K90" s="709">
        <v>13000</v>
      </c>
      <c r="L90" s="612">
        <f>'통장내역(환율표)'!$D$194</f>
        <v>7.2405999125279425</v>
      </c>
      <c r="M90" s="691">
        <f t="shared" si="8"/>
        <v>1795.4313395367888</v>
      </c>
      <c r="N90" s="759">
        <f t="shared" si="10"/>
        <v>142584.54000000012</v>
      </c>
      <c r="O90" s="760">
        <f t="shared" si="11"/>
        <v>19702.921221589437</v>
      </c>
      <c r="P90" s="761" t="s">
        <v>1315</v>
      </c>
      <c r="Q90" s="881"/>
      <c r="R90" s="887" t="s">
        <v>952</v>
      </c>
      <c r="S90" s="595">
        <f t="shared" si="9"/>
        <v>19702.920775809122</v>
      </c>
    </row>
    <row r="91" spans="2:19" ht="11.25" customHeight="1">
      <c r="B91" s="639">
        <v>45467</v>
      </c>
      <c r="C91" s="728" t="s">
        <v>948</v>
      </c>
      <c r="D91" s="642"/>
      <c r="E91" s="740">
        <v>57</v>
      </c>
      <c r="F91" s="640" t="s">
        <v>107</v>
      </c>
      <c r="G91" s="640"/>
      <c r="H91" s="642"/>
      <c r="I91" s="758"/>
      <c r="J91" s="643"/>
      <c r="K91" s="709">
        <v>3041.59</v>
      </c>
      <c r="L91" s="612">
        <f>'통장내역(환율표)'!$D$194</f>
        <v>7.2405999125279425</v>
      </c>
      <c r="M91" s="691">
        <f t="shared" si="8"/>
        <v>420.0743083093617</v>
      </c>
      <c r="N91" s="759">
        <f t="shared" si="10"/>
        <v>139542.95000000013</v>
      </c>
      <c r="O91" s="760">
        <f t="shared" si="11"/>
        <v>19282.846913280075</v>
      </c>
      <c r="P91" s="761" t="s">
        <v>1315</v>
      </c>
      <c r="Q91" s="881"/>
      <c r="R91" s="887" t="s">
        <v>952</v>
      </c>
      <c r="S91" s="595">
        <f t="shared" si="9"/>
        <v>19282.846467499759</v>
      </c>
    </row>
    <row r="92" spans="2:19" ht="11.25" customHeight="1">
      <c r="B92" s="639">
        <v>45467</v>
      </c>
      <c r="C92" s="728" t="s">
        <v>899</v>
      </c>
      <c r="D92" s="642"/>
      <c r="E92" s="740">
        <v>57</v>
      </c>
      <c r="F92" s="640" t="s">
        <v>107</v>
      </c>
      <c r="G92" s="640"/>
      <c r="H92" s="642"/>
      <c r="I92" s="758"/>
      <c r="J92" s="643"/>
      <c r="K92" s="709">
        <v>300</v>
      </c>
      <c r="L92" s="612">
        <f>'통장내역(환율표)'!$D$194</f>
        <v>7.2405999125279425</v>
      </c>
      <c r="M92" s="691">
        <f t="shared" si="8"/>
        <v>41.433030912387437</v>
      </c>
      <c r="N92" s="759">
        <f t="shared" si="10"/>
        <v>139242.95000000013</v>
      </c>
      <c r="O92" s="760">
        <f t="shared" si="11"/>
        <v>19241.413882367688</v>
      </c>
      <c r="P92" s="761" t="s">
        <v>1315</v>
      </c>
      <c r="Q92" s="881"/>
      <c r="R92" s="887" t="s">
        <v>952</v>
      </c>
      <c r="S92" s="595">
        <f t="shared" si="9"/>
        <v>19241.413436587372</v>
      </c>
    </row>
    <row r="93" spans="2:19" ht="11.25" customHeight="1">
      <c r="B93" s="639">
        <v>45467</v>
      </c>
      <c r="C93" s="728" t="s">
        <v>992</v>
      </c>
      <c r="D93" s="642"/>
      <c r="E93" s="740">
        <v>57</v>
      </c>
      <c r="F93" s="640" t="s">
        <v>107</v>
      </c>
      <c r="G93" s="640"/>
      <c r="H93" s="642"/>
      <c r="I93" s="758"/>
      <c r="J93" s="643"/>
      <c r="K93" s="709">
        <v>1200</v>
      </c>
      <c r="L93" s="612">
        <f>'통장내역(환율표)'!$D$194</f>
        <v>7.2405999125279425</v>
      </c>
      <c r="M93" s="691">
        <f t="shared" si="8"/>
        <v>165.73212364954975</v>
      </c>
      <c r="N93" s="759">
        <f t="shared" si="10"/>
        <v>138042.95000000013</v>
      </c>
      <c r="O93" s="760">
        <f t="shared" si="11"/>
        <v>19075.681758718139</v>
      </c>
      <c r="P93" s="761" t="s">
        <v>1315</v>
      </c>
      <c r="Q93" s="881"/>
      <c r="R93" s="887" t="s">
        <v>952</v>
      </c>
      <c r="S93" s="595">
        <f t="shared" si="9"/>
        <v>19075.681312937824</v>
      </c>
    </row>
    <row r="94" spans="2:19" ht="11.25" customHeight="1">
      <c r="B94" s="639">
        <v>45467</v>
      </c>
      <c r="C94" s="728" t="s">
        <v>898</v>
      </c>
      <c r="D94" s="642"/>
      <c r="E94" s="740">
        <v>57</v>
      </c>
      <c r="F94" s="640" t="s">
        <v>107</v>
      </c>
      <c r="G94" s="640"/>
      <c r="H94" s="642"/>
      <c r="I94" s="758"/>
      <c r="J94" s="643"/>
      <c r="K94" s="709">
        <v>25000</v>
      </c>
      <c r="L94" s="612">
        <f>'통장내역(환율표)'!$D$194</f>
        <v>7.2405999125279425</v>
      </c>
      <c r="M94" s="691">
        <f t="shared" si="8"/>
        <v>3452.752576032286</v>
      </c>
      <c r="N94" s="759">
        <f t="shared" si="10"/>
        <v>113042.95000000013</v>
      </c>
      <c r="O94" s="760">
        <f t="shared" si="11"/>
        <v>15622.929182685853</v>
      </c>
      <c r="P94" s="761" t="s">
        <v>1315</v>
      </c>
      <c r="Q94" s="881"/>
      <c r="R94" s="887" t="s">
        <v>1292</v>
      </c>
      <c r="S94" s="595">
        <f t="shared" si="9"/>
        <v>15622.928736905538</v>
      </c>
    </row>
    <row r="95" spans="2:19" ht="11.25" customHeight="1">
      <c r="B95" s="639">
        <v>45467</v>
      </c>
      <c r="C95" s="728" t="s">
        <v>948</v>
      </c>
      <c r="D95" s="642"/>
      <c r="E95" s="740">
        <v>57</v>
      </c>
      <c r="F95" s="640" t="s">
        <v>107</v>
      </c>
      <c r="G95" s="640"/>
      <c r="H95" s="642"/>
      <c r="I95" s="758"/>
      <c r="J95" s="643"/>
      <c r="K95" s="709">
        <v>6936.19</v>
      </c>
      <c r="L95" s="612">
        <f>'통장내역(환율표)'!$D$194</f>
        <v>7.2405999125279425</v>
      </c>
      <c r="M95" s="691">
        <f t="shared" si="8"/>
        <v>957.95791561397527</v>
      </c>
      <c r="N95" s="759">
        <f t="shared" si="10"/>
        <v>106106.76000000013</v>
      </c>
      <c r="O95" s="760">
        <f t="shared" si="11"/>
        <v>14664.971267071878</v>
      </c>
      <c r="P95" s="761" t="s">
        <v>1315</v>
      </c>
      <c r="Q95" s="881"/>
      <c r="R95" s="887" t="s">
        <v>1292</v>
      </c>
      <c r="S95" s="595">
        <f t="shared" si="9"/>
        <v>14664.970821291563</v>
      </c>
    </row>
    <row r="96" spans="2:19" ht="11.25" customHeight="1">
      <c r="B96" s="639">
        <v>45467</v>
      </c>
      <c r="C96" s="728" t="s">
        <v>899</v>
      </c>
      <c r="D96" s="642"/>
      <c r="E96" s="740">
        <v>57</v>
      </c>
      <c r="F96" s="640" t="s">
        <v>107</v>
      </c>
      <c r="G96" s="640"/>
      <c r="H96" s="642"/>
      <c r="I96" s="758"/>
      <c r="J96" s="643"/>
      <c r="K96" s="709">
        <v>300</v>
      </c>
      <c r="L96" s="612">
        <f>'통장내역(환율표)'!$D$194</f>
        <v>7.2405999125279425</v>
      </c>
      <c r="M96" s="691">
        <f t="shared" si="8"/>
        <v>41.433030912387437</v>
      </c>
      <c r="N96" s="857">
        <f t="shared" si="10"/>
        <v>105806.76000000013</v>
      </c>
      <c r="O96" s="942">
        <f t="shared" si="11"/>
        <v>14623.538236159491</v>
      </c>
      <c r="P96" s="761" t="s">
        <v>1315</v>
      </c>
      <c r="Q96" s="881"/>
      <c r="R96" s="887" t="s">
        <v>1292</v>
      </c>
      <c r="S96" s="595">
        <f t="shared" si="9"/>
        <v>14623.537790379176</v>
      </c>
    </row>
    <row r="97" spans="2:19" ht="11.25" customHeight="1">
      <c r="B97" s="639">
        <v>45467</v>
      </c>
      <c r="C97" s="728" t="s">
        <v>250</v>
      </c>
      <c r="D97" s="642"/>
      <c r="E97" s="740">
        <v>58</v>
      </c>
      <c r="F97" s="640" t="s">
        <v>107</v>
      </c>
      <c r="G97" s="640"/>
      <c r="H97" s="642"/>
      <c r="I97" s="758"/>
      <c r="J97" s="643"/>
      <c r="K97" s="709">
        <v>12</v>
      </c>
      <c r="L97" s="612">
        <f>'통장내역(환율표)'!$D$194</f>
        <v>7.2405999125279425</v>
      </c>
      <c r="M97" s="691">
        <f t="shared" si="8"/>
        <v>1.6573212364954975</v>
      </c>
      <c r="N97" s="928">
        <f t="shared" si="10"/>
        <v>105794.76000000013</v>
      </c>
      <c r="O97" s="927">
        <f t="shared" si="11"/>
        <v>14621.880914922996</v>
      </c>
      <c r="P97" s="761" t="s">
        <v>1315</v>
      </c>
      <c r="Q97" s="881"/>
      <c r="R97" s="887" t="s">
        <v>1292</v>
      </c>
      <c r="S97" s="595">
        <f t="shared" si="9"/>
        <v>14621.880469142681</v>
      </c>
    </row>
    <row r="98" spans="2:19" ht="11.25" customHeight="1">
      <c r="C98" s="589"/>
      <c r="D98" s="589"/>
      <c r="E98" s="589"/>
      <c r="F98" s="589"/>
      <c r="G98" s="589"/>
      <c r="H98" s="589"/>
      <c r="K98" s="531"/>
    </row>
    <row r="99" spans="2:19" ht="11.25" customHeight="1">
      <c r="C99" s="589"/>
      <c r="D99" s="589"/>
      <c r="E99" s="589"/>
      <c r="F99" s="589"/>
      <c r="G99" s="589"/>
      <c r="H99" s="589"/>
      <c r="K99" s="531"/>
    </row>
    <row r="100" spans="2:19" ht="11.25" customHeight="1">
      <c r="C100" s="589"/>
      <c r="D100" s="589"/>
      <c r="E100" s="589"/>
      <c r="F100" s="589"/>
      <c r="G100" s="589"/>
      <c r="H100" s="589"/>
      <c r="K100" s="531"/>
    </row>
    <row r="101" spans="2:19" ht="11.25" customHeight="1">
      <c r="C101" s="589"/>
      <c r="D101" s="589"/>
      <c r="E101" s="589"/>
      <c r="F101" s="589"/>
      <c r="G101" s="589"/>
      <c r="H101" s="589"/>
    </row>
    <row r="102" spans="2:19" ht="11.25" customHeight="1">
      <c r="C102" s="589"/>
      <c r="D102" s="589"/>
      <c r="E102" s="589"/>
      <c r="F102" s="589"/>
      <c r="G102" s="589"/>
      <c r="H102" s="589"/>
    </row>
    <row r="103" spans="2:19" ht="11.25" customHeight="1">
      <c r="C103" s="589"/>
      <c r="D103" s="589"/>
      <c r="E103" s="589"/>
      <c r="F103" s="589"/>
      <c r="G103" s="589"/>
      <c r="H103" s="589"/>
    </row>
    <row r="104" spans="2:19" ht="11.25" customHeight="1">
      <c r="C104" s="589"/>
      <c r="D104" s="589"/>
      <c r="E104" s="589"/>
      <c r="F104" s="589"/>
      <c r="G104" s="589"/>
      <c r="H104" s="589"/>
    </row>
    <row r="105" spans="2:19" ht="11.25" customHeight="1">
      <c r="C105" s="589"/>
      <c r="D105" s="589"/>
      <c r="E105" s="589"/>
      <c r="F105" s="589"/>
      <c r="G105" s="589"/>
      <c r="H105" s="589"/>
    </row>
    <row r="106" spans="2:19" ht="11.25" customHeight="1">
      <c r="C106" s="589"/>
      <c r="D106" s="589"/>
      <c r="E106" s="589"/>
      <c r="F106" s="589"/>
      <c r="G106" s="589"/>
      <c r="H106" s="589"/>
    </row>
    <row r="107" spans="2:19" ht="11.25" customHeight="1">
      <c r="C107" s="589"/>
      <c r="D107" s="589"/>
      <c r="E107" s="589"/>
      <c r="F107" s="589"/>
      <c r="G107" s="589"/>
      <c r="H107" s="589"/>
    </row>
    <row r="108" spans="2:19" ht="11.25" customHeight="1">
      <c r="C108" s="589"/>
      <c r="D108" s="589"/>
      <c r="E108" s="589"/>
      <c r="F108" s="589"/>
      <c r="G108" s="589"/>
      <c r="H108" s="589"/>
    </row>
    <row r="109" spans="2:19" ht="11.25" customHeight="1">
      <c r="C109" s="589"/>
      <c r="D109" s="589"/>
      <c r="E109" s="589"/>
      <c r="F109" s="589"/>
      <c r="G109" s="589"/>
      <c r="H109" s="589"/>
    </row>
    <row r="110" spans="2:19" ht="11.25" customHeight="1">
      <c r="C110" s="589"/>
      <c r="D110" s="589"/>
      <c r="E110" s="589"/>
      <c r="F110" s="589"/>
      <c r="G110" s="589"/>
      <c r="H110" s="589"/>
    </row>
    <row r="111" spans="2:19" ht="11.25" customHeight="1">
      <c r="C111" s="589"/>
      <c r="D111" s="589"/>
      <c r="E111" s="589"/>
      <c r="F111" s="589"/>
      <c r="G111" s="589"/>
      <c r="H111" s="589"/>
    </row>
  </sheetData>
  <autoFilter ref="B17:R97" xr:uid="{00000000-0009-0000-0000-000001000000}">
    <filterColumn colId="14" showButton="0"/>
    <sortState xmlns:xlrd2="http://schemas.microsoft.com/office/spreadsheetml/2017/richdata2" ref="B20:R54">
      <sortCondition sortBy="cellColor" ref="M17:M96" dxfId="13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FC4A-BE95-452D-A917-70D0EB7D8168}">
  <sheetPr>
    <tabColor theme="7" tint="-0.249977111117893"/>
  </sheetPr>
  <dimension ref="A1:AC107"/>
  <sheetViews>
    <sheetView showGridLines="0" zoomScaleNormal="100" workbookViewId="0">
      <pane ySplit="18" topLeftCell="A76" activePane="bottomLeft" state="frozen"/>
      <selection activeCell="I128" sqref="I128"/>
      <selection pane="bottomLeft" activeCell="N94" sqref="N94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1340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1320</v>
      </c>
      <c r="C3" s="547"/>
      <c r="D3" s="547"/>
      <c r="E3" s="547"/>
      <c r="F3" s="790">
        <v>1366.9</v>
      </c>
      <c r="G3" s="550"/>
      <c r="H3" s="546" t="s">
        <v>1321</v>
      </c>
      <c r="I3" s="547"/>
      <c r="K3" s="548"/>
      <c r="L3" s="790">
        <v>1383.4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22004.71</v>
      </c>
      <c r="K5" s="766">
        <v>3031.75</v>
      </c>
      <c r="L5" s="723">
        <f t="shared" ref="L5:L11" si="1">ROUND(K5*$L$3,0)</f>
        <v>4194123</v>
      </c>
      <c r="M5" s="970">
        <f>L5+F5</f>
        <v>4194123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220.98</v>
      </c>
      <c r="F6" s="567">
        <f t="shared" si="0"/>
        <v>302058</v>
      </c>
      <c r="G6" s="572"/>
      <c r="H6" s="569" t="s">
        <v>13</v>
      </c>
      <c r="I6" s="569" t="s">
        <v>14</v>
      </c>
      <c r="J6" s="766">
        <v>29823.03</v>
      </c>
      <c r="K6" s="766">
        <v>4108.93</v>
      </c>
      <c r="L6" s="723">
        <f t="shared" si="1"/>
        <v>5684294</v>
      </c>
      <c r="M6" s="970">
        <f t="shared" ref="M6:M13" si="2">L6+F6</f>
        <v>5986352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24479</v>
      </c>
      <c r="E7" s="566">
        <v>3380.8</v>
      </c>
      <c r="F7" s="567">
        <f t="shared" si="0"/>
        <v>4621216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2"/>
        <v>4621216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2411.1</v>
      </c>
      <c r="L8" s="723">
        <f t="shared" si="1"/>
        <v>3335516</v>
      </c>
      <c r="M8" s="970">
        <f t="shared" si="2"/>
        <v>3335516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2057</v>
      </c>
      <c r="K9" s="766">
        <v>283.41000000000003</v>
      </c>
      <c r="L9" s="723">
        <f t="shared" si="1"/>
        <v>392069</v>
      </c>
      <c r="M9" s="970">
        <f t="shared" si="2"/>
        <v>392069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79792.179999999993</v>
      </c>
      <c r="E10" s="570">
        <v>11020.1</v>
      </c>
      <c r="F10" s="567">
        <f t="shared" si="0"/>
        <v>15063375</v>
      </c>
      <c r="G10" s="575"/>
      <c r="H10" s="569" t="s">
        <v>21</v>
      </c>
      <c r="I10" s="569"/>
      <c r="J10" s="766">
        <v>204194</v>
      </c>
      <c r="K10" s="766">
        <v>28184.26</v>
      </c>
      <c r="L10" s="723">
        <f t="shared" si="1"/>
        <v>38990105</v>
      </c>
      <c r="M10" s="970">
        <f t="shared" si="2"/>
        <v>54053480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1366.9000839837283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14621.880000000001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105871.18</v>
      </c>
      <c r="E13" s="585">
        <f>SUM(E5:E11)-E12</f>
        <v>14621.880000000001</v>
      </c>
      <c r="F13" s="950">
        <f>SUM(F5:F11)-F12</f>
        <v>19986649</v>
      </c>
      <c r="G13" s="588">
        <f>F13+R13+AC13</f>
        <v>19986649</v>
      </c>
      <c r="H13" s="948" t="s">
        <v>22</v>
      </c>
      <c r="I13" s="949"/>
      <c r="J13" s="585">
        <f>SUM(J5:J11)-J12</f>
        <v>275578.74</v>
      </c>
      <c r="K13" s="585">
        <f>SUM(K5:K11)-K12</f>
        <v>38019.449999999997</v>
      </c>
      <c r="L13" s="950">
        <f>SUM(L5:L11)-L12</f>
        <v>52596107</v>
      </c>
      <c r="M13" s="970">
        <f t="shared" si="2"/>
        <v>72582756</v>
      </c>
      <c r="N13" s="952"/>
      <c r="O13" s="953"/>
      <c r="P13" s="853"/>
      <c r="Q13" s="853"/>
      <c r="R13" s="853"/>
      <c r="S13" s="954"/>
      <c r="U13" s="930"/>
      <c r="X13" s="955">
        <f>F13+R13</f>
        <v>19986649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104271.18</v>
      </c>
      <c r="E14" s="816">
        <f>SUM(E7:E10)</f>
        <v>14400.900000000001</v>
      </c>
      <c r="F14" s="816">
        <f>SUM(F7:F10)</f>
        <v>19684591</v>
      </c>
      <c r="G14" s="594"/>
      <c r="J14" s="559">
        <f>J13+D13</f>
        <v>381449.92</v>
      </c>
      <c r="K14" s="559">
        <f>K13+E13</f>
        <v>52641.33</v>
      </c>
      <c r="L14" s="559">
        <f>L13+F13</f>
        <v>72582756</v>
      </c>
      <c r="M14" s="945">
        <f>M15-E12</f>
        <v>52641.326617641484</v>
      </c>
      <c r="O14" s="595"/>
      <c r="P14" s="924">
        <f>P13+D13+J13</f>
        <v>381449.92</v>
      </c>
      <c r="Q14" s="924">
        <f>Q13+E13+K13</f>
        <v>52641.33</v>
      </c>
      <c r="R14" s="925">
        <f>R13+F13+L13</f>
        <v>72582756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381449.91999999981</v>
      </c>
      <c r="L15" s="137"/>
      <c r="M15" s="724">
        <f>SUBTOTAL(9,M18:M121)</f>
        <v>52641.326617641484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0" t="s">
        <v>29</v>
      </c>
      <c r="I16" s="1521"/>
      <c r="J16" s="1521"/>
      <c r="K16" s="1520" t="s">
        <v>30</v>
      </c>
      <c r="L16" s="1521"/>
      <c r="M16" s="1522"/>
      <c r="N16" s="1523" t="s">
        <v>31</v>
      </c>
      <c r="O16" s="1524"/>
      <c r="P16" s="1525"/>
      <c r="Q16" s="1525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29" t="s">
        <v>32</v>
      </c>
      <c r="Q17" s="1529"/>
      <c r="R17" s="556" t="s">
        <v>1071</v>
      </c>
    </row>
    <row r="18" spans="1:19" ht="11.25" customHeight="1">
      <c r="B18" s="729">
        <v>45473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960">
        <v>105794.76000000013</v>
      </c>
      <c r="O18" s="961">
        <v>14621.88</v>
      </c>
      <c r="P18" s="753"/>
      <c r="Q18" s="876"/>
      <c r="R18" s="883"/>
      <c r="S18" s="926">
        <v>14621.88</v>
      </c>
    </row>
    <row r="19" spans="1:19" ht="11.25" customHeight="1">
      <c r="B19" s="639">
        <v>45483</v>
      </c>
      <c r="C19" s="671" t="s">
        <v>1322</v>
      </c>
      <c r="D19" s="671"/>
      <c r="E19" s="740">
        <v>1</v>
      </c>
      <c r="F19" s="640" t="s">
        <v>107</v>
      </c>
      <c r="G19" s="640"/>
      <c r="H19" s="642"/>
      <c r="I19" s="758"/>
      <c r="J19" s="643"/>
      <c r="K19" s="709">
        <v>46204.480000000003</v>
      </c>
      <c r="L19" s="612">
        <f>'통장내역(환율표)'!$D$194</f>
        <v>7.2405999125279425</v>
      </c>
      <c r="M19" s="843">
        <f>K19/L19</f>
        <v>6381.3054937692905</v>
      </c>
      <c r="N19" s="759">
        <f t="shared" ref="N19:N50" si="3">N18+H19-K19</f>
        <v>59590.280000000123</v>
      </c>
      <c r="O19" s="760">
        <f t="shared" ref="O19:O82" si="4">O18+J19-M19</f>
        <v>8240.5745062307087</v>
      </c>
      <c r="P19" s="761" t="s">
        <v>1315</v>
      </c>
      <c r="Q19" s="879"/>
      <c r="R19" s="886"/>
      <c r="S19" s="595">
        <f>S18-M19</f>
        <v>8240.5745062307087</v>
      </c>
    </row>
    <row r="20" spans="1:19" ht="11.25" customHeight="1">
      <c r="B20" s="775">
        <v>45484</v>
      </c>
      <c r="C20" s="972" t="s">
        <v>1097</v>
      </c>
      <c r="D20" s="972"/>
      <c r="E20" s="777">
        <v>2</v>
      </c>
      <c r="F20" s="778"/>
      <c r="G20" s="778"/>
      <c r="H20" s="787">
        <v>298714.36</v>
      </c>
      <c r="I20" s="779"/>
      <c r="J20" s="780">
        <v>41207</v>
      </c>
      <c r="K20" s="899"/>
      <c r="L20" s="781"/>
      <c r="M20" s="964"/>
      <c r="N20" s="782">
        <f t="shared" si="3"/>
        <v>358304.64000000013</v>
      </c>
      <c r="O20" s="783">
        <f t="shared" si="4"/>
        <v>49447.574506230711</v>
      </c>
      <c r="P20" s="784"/>
      <c r="Q20" s="903"/>
      <c r="R20" s="958"/>
      <c r="S20" s="595"/>
    </row>
    <row r="21" spans="1:19" ht="12" customHeight="1">
      <c r="B21" s="775">
        <v>45484</v>
      </c>
      <c r="C21" s="972" t="s">
        <v>445</v>
      </c>
      <c r="D21" s="972"/>
      <c r="E21" s="777">
        <v>2</v>
      </c>
      <c r="F21" s="778" t="s">
        <v>107</v>
      </c>
      <c r="G21" s="778"/>
      <c r="H21" s="787"/>
      <c r="I21" s="779"/>
      <c r="J21" s="780"/>
      <c r="K21" s="899"/>
      <c r="L21" s="781"/>
      <c r="M21" s="965">
        <v>51</v>
      </c>
      <c r="N21" s="782">
        <f t="shared" si="3"/>
        <v>358304.64000000013</v>
      </c>
      <c r="O21" s="783">
        <f t="shared" si="4"/>
        <v>49396.574506230711</v>
      </c>
      <c r="P21" s="784"/>
      <c r="Q21" s="903"/>
      <c r="R21" s="958"/>
      <c r="S21" s="595"/>
    </row>
    <row r="22" spans="1:19" ht="12" customHeight="1">
      <c r="B22" s="639">
        <v>45488</v>
      </c>
      <c r="C22" s="671" t="s">
        <v>304</v>
      </c>
      <c r="D22" s="671"/>
      <c r="E22" s="740">
        <v>3</v>
      </c>
      <c r="F22" s="640" t="s">
        <v>105</v>
      </c>
      <c r="G22" s="640" t="s">
        <v>1131</v>
      </c>
      <c r="H22" s="640"/>
      <c r="I22" s="640"/>
      <c r="J22" s="640"/>
      <c r="K22" s="709">
        <v>24479</v>
      </c>
      <c r="L22" s="612">
        <f>'통장내역(환율표)'!$D$194</f>
        <v>7.2405999125279425</v>
      </c>
      <c r="M22" s="843">
        <f>K22/L22</f>
        <v>3380.7972123477734</v>
      </c>
      <c r="N22" s="759">
        <f t="shared" si="3"/>
        <v>333825.64000000013</v>
      </c>
      <c r="O22" s="760">
        <f t="shared" si="4"/>
        <v>46015.777293882937</v>
      </c>
      <c r="P22" s="761" t="s">
        <v>1315</v>
      </c>
      <c r="Q22" s="879"/>
      <c r="R22" s="886"/>
      <c r="S22" s="717">
        <f>S19-M22+J22</f>
        <v>4859.7772938829348</v>
      </c>
    </row>
    <row r="23" spans="1:19" ht="11.25" customHeight="1">
      <c r="B23" s="639">
        <v>45488</v>
      </c>
      <c r="C23" s="671" t="s">
        <v>250</v>
      </c>
      <c r="D23" s="671"/>
      <c r="E23" s="740">
        <v>4</v>
      </c>
      <c r="F23" s="640" t="s">
        <v>107</v>
      </c>
      <c r="G23" s="640"/>
      <c r="H23" s="640"/>
      <c r="I23" s="640"/>
      <c r="J23" s="640"/>
      <c r="K23" s="709">
        <v>7.2</v>
      </c>
      <c r="L23" s="612">
        <f>'통장내역(환율표)'!$D$194</f>
        <v>7.2405999125279425</v>
      </c>
      <c r="M23" s="843">
        <f>K23/L23</f>
        <v>0.99439274189729843</v>
      </c>
      <c r="N23" s="759">
        <f t="shared" si="3"/>
        <v>333818.44000000012</v>
      </c>
      <c r="O23" s="760">
        <f t="shared" si="4"/>
        <v>46014.782901141036</v>
      </c>
      <c r="P23" s="761" t="s">
        <v>1315</v>
      </c>
      <c r="Q23" s="879"/>
      <c r="R23" s="886"/>
      <c r="S23" s="963">
        <f>S22-M23+J23</f>
        <v>4858.7829011410377</v>
      </c>
    </row>
    <row r="24" spans="1:19" ht="11.25" customHeight="1">
      <c r="B24" s="639">
        <v>45488</v>
      </c>
      <c r="C24" s="671" t="s">
        <v>1323</v>
      </c>
      <c r="D24" s="671"/>
      <c r="E24" s="740">
        <v>5</v>
      </c>
      <c r="F24" s="640" t="s">
        <v>146</v>
      </c>
      <c r="G24" s="640" t="s">
        <v>147</v>
      </c>
      <c r="H24" s="640"/>
      <c r="I24" s="640"/>
      <c r="J24" s="640"/>
      <c r="K24" s="709">
        <v>1600</v>
      </c>
      <c r="L24" s="612">
        <f>'통장내역(환율표)'!$D$194</f>
        <v>7.2405999125279425</v>
      </c>
      <c r="M24" s="843">
        <f>K24/L24</f>
        <v>220.97616486606631</v>
      </c>
      <c r="N24" s="759">
        <f t="shared" si="3"/>
        <v>332218.44000000012</v>
      </c>
      <c r="O24" s="760">
        <f t="shared" si="4"/>
        <v>45793.806736274972</v>
      </c>
      <c r="P24" s="761" t="s">
        <v>1315</v>
      </c>
      <c r="Q24" s="879"/>
      <c r="R24" s="886"/>
      <c r="S24" s="963">
        <f>S23-M24+J24</f>
        <v>4637.8067362749716</v>
      </c>
    </row>
    <row r="25" spans="1:19" ht="11.25" customHeight="1">
      <c r="B25" s="639">
        <v>45488</v>
      </c>
      <c r="C25" s="671" t="s">
        <v>250</v>
      </c>
      <c r="D25" s="671"/>
      <c r="E25" s="740">
        <v>6</v>
      </c>
      <c r="F25" s="640" t="s">
        <v>107</v>
      </c>
      <c r="G25" s="640"/>
      <c r="H25" s="640"/>
      <c r="I25" s="640"/>
      <c r="J25" s="640"/>
      <c r="K25" s="709">
        <v>3.6</v>
      </c>
      <c r="L25" s="612">
        <f>'통장내역(환율표)'!$D$194</f>
        <v>7.2405999125279425</v>
      </c>
      <c r="M25" s="843">
        <v>0.495</v>
      </c>
      <c r="N25" s="759">
        <f t="shared" si="3"/>
        <v>332214.84000000014</v>
      </c>
      <c r="O25" s="760">
        <f t="shared" si="4"/>
        <v>45793.311736274969</v>
      </c>
      <c r="P25" s="761" t="s">
        <v>1315</v>
      </c>
      <c r="Q25" s="879"/>
      <c r="R25" s="886"/>
      <c r="S25" s="963">
        <f>S24-M25+J25</f>
        <v>4637.3117362749717</v>
      </c>
    </row>
    <row r="26" spans="1:19" ht="11.25" customHeight="1">
      <c r="B26" s="639">
        <v>45496</v>
      </c>
      <c r="C26" s="671" t="s">
        <v>892</v>
      </c>
      <c r="D26" s="671"/>
      <c r="E26" s="740">
        <v>7</v>
      </c>
      <c r="F26" s="640" t="s">
        <v>107</v>
      </c>
      <c r="G26" s="640"/>
      <c r="H26" s="640"/>
      <c r="I26" s="640"/>
      <c r="J26" s="640"/>
      <c r="K26" s="709">
        <v>16000</v>
      </c>
      <c r="L26" s="612">
        <f>'통장내역(환율표)'!$D$194</f>
        <v>7.2405999125279425</v>
      </c>
      <c r="M26" s="843">
        <f>K26/L26</f>
        <v>2209.761648660663</v>
      </c>
      <c r="N26" s="759">
        <f t="shared" si="3"/>
        <v>316214.84000000014</v>
      </c>
      <c r="O26" s="760">
        <f t="shared" si="4"/>
        <v>43583.550087614305</v>
      </c>
      <c r="P26" s="761" t="s">
        <v>1315</v>
      </c>
      <c r="Q26" s="879"/>
      <c r="R26" s="886" t="s">
        <v>1328</v>
      </c>
      <c r="S26" s="963">
        <f>S25-M26+J26</f>
        <v>2427.5500876143087</v>
      </c>
    </row>
    <row r="27" spans="1:19" ht="11.25" customHeight="1">
      <c r="B27" s="821">
        <v>45496</v>
      </c>
      <c r="C27" s="974" t="s">
        <v>893</v>
      </c>
      <c r="D27" s="974"/>
      <c r="E27" s="823">
        <v>7</v>
      </c>
      <c r="F27" s="824" t="s">
        <v>107</v>
      </c>
      <c r="G27" s="824"/>
      <c r="H27" s="824"/>
      <c r="I27" s="824"/>
      <c r="J27" s="824"/>
      <c r="K27" s="827">
        <f>L27*M27</f>
        <v>17576.903048994063</v>
      </c>
      <c r="L27" s="828">
        <f>'통장내역(환율표)'!$D$194</f>
        <v>7.2405999125279425</v>
      </c>
      <c r="M27" s="843">
        <v>2427.54789124336</v>
      </c>
      <c r="N27" s="829">
        <f t="shared" si="3"/>
        <v>298637.93695100606</v>
      </c>
      <c r="O27" s="830">
        <f t="shared" si="4"/>
        <v>41156.002196370944</v>
      </c>
      <c r="P27" s="831" t="s">
        <v>1315</v>
      </c>
      <c r="Q27" s="878"/>
      <c r="R27" s="885"/>
      <c r="S27" s="966">
        <f>S26-M27+J27</f>
        <v>2.1963709486954031E-3</v>
      </c>
    </row>
    <row r="28" spans="1:19" ht="11.25" customHeight="1">
      <c r="B28" s="821">
        <v>45496</v>
      </c>
      <c r="C28" s="974" t="s">
        <v>893</v>
      </c>
      <c r="D28" s="974"/>
      <c r="E28" s="823">
        <v>7</v>
      </c>
      <c r="F28" s="824" t="s">
        <v>107</v>
      </c>
      <c r="G28" s="824"/>
      <c r="H28" s="824"/>
      <c r="I28" s="824"/>
      <c r="J28" s="824"/>
      <c r="K28" s="827">
        <f>24000-K27</f>
        <v>6423.0969510059367</v>
      </c>
      <c r="L28" s="828">
        <f>'통장내역(환율표)'!$D$202</f>
        <v>7.2580999125279417</v>
      </c>
      <c r="M28" s="689">
        <f t="shared" ref="M28:M59" si="5">K28/L28</f>
        <v>884.95570857591304</v>
      </c>
      <c r="N28" s="829">
        <f t="shared" si="3"/>
        <v>292214.84000000014</v>
      </c>
      <c r="O28" s="830">
        <f t="shared" si="4"/>
        <v>40271.046487795029</v>
      </c>
      <c r="P28" s="831" t="s">
        <v>1337</v>
      </c>
      <c r="Q28" s="878"/>
      <c r="R28" s="885"/>
      <c r="S28" s="962">
        <f>41156-M28</f>
        <v>40271.044291424085</v>
      </c>
    </row>
    <row r="29" spans="1:19" ht="11.25" customHeight="1">
      <c r="B29" s="639">
        <v>45496</v>
      </c>
      <c r="C29" s="671" t="s">
        <v>894</v>
      </c>
      <c r="D29" s="671"/>
      <c r="E29" s="740">
        <v>7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'통장내역(환율표)'!$D$202</f>
        <v>7.2580999125279417</v>
      </c>
      <c r="M29" s="689">
        <f t="shared" si="5"/>
        <v>708.88938730632185</v>
      </c>
      <c r="N29" s="759">
        <f t="shared" si="3"/>
        <v>287069.65000000014</v>
      </c>
      <c r="O29" s="760">
        <f t="shared" si="4"/>
        <v>39562.157100488708</v>
      </c>
      <c r="P29" s="761" t="s">
        <v>1337</v>
      </c>
      <c r="Q29" s="879"/>
      <c r="R29" s="886"/>
      <c r="S29" s="962">
        <f>S28-M29+J29</f>
        <v>39562.154904117764</v>
      </c>
    </row>
    <row r="30" spans="1:19" ht="11.25" customHeight="1">
      <c r="B30" s="639">
        <v>45496</v>
      </c>
      <c r="C30" s="671" t="s">
        <v>895</v>
      </c>
      <c r="D30" s="671"/>
      <c r="E30" s="740">
        <v>7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'통장내역(환율표)'!$D$202</f>
        <v>7.2580999125279417</v>
      </c>
      <c r="M30" s="689">
        <f t="shared" si="5"/>
        <v>919.46929367573796</v>
      </c>
      <c r="N30" s="759">
        <f t="shared" si="3"/>
        <v>280396.05000000016</v>
      </c>
      <c r="O30" s="760">
        <f t="shared" si="4"/>
        <v>38642.687806812974</v>
      </c>
      <c r="P30" s="761" t="s">
        <v>1337</v>
      </c>
      <c r="Q30" s="879"/>
      <c r="R30" s="886"/>
      <c r="S30" s="962">
        <f t="shared" ref="S30:S93" si="6">S29-M30+J30</f>
        <v>38642.685610442029</v>
      </c>
    </row>
    <row r="31" spans="1:19" ht="11.25" customHeight="1">
      <c r="B31" s="639">
        <v>45496</v>
      </c>
      <c r="C31" s="671" t="s">
        <v>896</v>
      </c>
      <c r="D31" s="671"/>
      <c r="E31" s="740">
        <v>7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'통장내역(환율표)'!$D$202</f>
        <v>7.2580999125279417</v>
      </c>
      <c r="M31" s="689">
        <f t="shared" si="5"/>
        <v>41.33313175837948</v>
      </c>
      <c r="N31" s="759">
        <f t="shared" si="3"/>
        <v>280096.05000000016</v>
      </c>
      <c r="O31" s="760">
        <f t="shared" si="4"/>
        <v>38601.354675054594</v>
      </c>
      <c r="P31" s="761" t="s">
        <v>1337</v>
      </c>
      <c r="Q31" s="879"/>
      <c r="R31" s="886"/>
      <c r="S31" s="962">
        <f t="shared" si="6"/>
        <v>38601.35247868365</v>
      </c>
    </row>
    <row r="32" spans="1:19" ht="11.25" customHeight="1">
      <c r="B32" s="639">
        <v>45496</v>
      </c>
      <c r="C32" s="671" t="s">
        <v>892</v>
      </c>
      <c r="D32" s="671"/>
      <c r="E32" s="740">
        <v>7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'통장내역(환율표)'!$D$202</f>
        <v>7.2580999125279417</v>
      </c>
      <c r="M32" s="689">
        <f t="shared" si="5"/>
        <v>2066.6565879189739</v>
      </c>
      <c r="N32" s="759">
        <f t="shared" si="3"/>
        <v>265096.05000000016</v>
      </c>
      <c r="O32" s="760">
        <f t="shared" si="4"/>
        <v>36534.698087135621</v>
      </c>
      <c r="P32" s="761" t="s">
        <v>1337</v>
      </c>
      <c r="Q32" s="879"/>
      <c r="R32" s="886" t="s">
        <v>950</v>
      </c>
      <c r="S32" s="962">
        <f t="shared" si="6"/>
        <v>36534.695890764677</v>
      </c>
    </row>
    <row r="33" spans="2:19" ht="11.25" customHeight="1">
      <c r="B33" s="639">
        <v>45496</v>
      </c>
      <c r="C33" s="671" t="s">
        <v>893</v>
      </c>
      <c r="D33" s="671"/>
      <c r="E33" s="740">
        <v>7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'통장내역(환율표)'!$D$202</f>
        <v>7.2580999125279417</v>
      </c>
      <c r="M33" s="689">
        <f t="shared" si="5"/>
        <v>3031.0963289478286</v>
      </c>
      <c r="N33" s="759">
        <f t="shared" si="3"/>
        <v>243096.05000000016</v>
      </c>
      <c r="O33" s="760">
        <f t="shared" si="4"/>
        <v>33503.60175818779</v>
      </c>
      <c r="P33" s="761" t="s">
        <v>1337</v>
      </c>
      <c r="Q33" s="879"/>
      <c r="R33" s="886"/>
      <c r="S33" s="962">
        <f t="shared" si="6"/>
        <v>33503.599561816845</v>
      </c>
    </row>
    <row r="34" spans="2:19" ht="11.25" customHeight="1">
      <c r="B34" s="639">
        <v>45496</v>
      </c>
      <c r="C34" s="671" t="s">
        <v>894</v>
      </c>
      <c r="D34" s="671"/>
      <c r="E34" s="740">
        <v>7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'통장내역(환율표)'!$D$202</f>
        <v>7.2580999125279417</v>
      </c>
      <c r="M34" s="689">
        <f t="shared" si="5"/>
        <v>1181.6026375163215</v>
      </c>
      <c r="N34" s="759">
        <f t="shared" si="3"/>
        <v>234519.86000000016</v>
      </c>
      <c r="O34" s="760">
        <f t="shared" si="4"/>
        <v>32321.999120671469</v>
      </c>
      <c r="P34" s="761" t="s">
        <v>1337</v>
      </c>
      <c r="Q34" s="879"/>
      <c r="R34" s="887"/>
      <c r="S34" s="962">
        <f t="shared" si="6"/>
        <v>32321.996924300525</v>
      </c>
    </row>
    <row r="35" spans="2:19" ht="11.25" customHeight="1">
      <c r="B35" s="639">
        <v>45496</v>
      </c>
      <c r="C35" s="671" t="s">
        <v>895</v>
      </c>
      <c r="D35" s="671"/>
      <c r="E35" s="740">
        <v>7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'통장내역(환율표)'!$D$202</f>
        <v>7.2580999125279417</v>
      </c>
      <c r="M35" s="689">
        <f t="shared" si="5"/>
        <v>790.01392500849317</v>
      </c>
      <c r="N35" s="759">
        <f t="shared" si="3"/>
        <v>228785.86000000016</v>
      </c>
      <c r="O35" s="760">
        <f t="shared" si="4"/>
        <v>31531.985195662975</v>
      </c>
      <c r="P35" s="761" t="s">
        <v>1337</v>
      </c>
      <c r="Q35" s="879"/>
      <c r="R35" s="887"/>
      <c r="S35" s="962">
        <f t="shared" si="6"/>
        <v>31531.982999292031</v>
      </c>
    </row>
    <row r="36" spans="2:19" ht="11.25" customHeight="1">
      <c r="B36" s="639">
        <v>45496</v>
      </c>
      <c r="C36" s="671" t="s">
        <v>896</v>
      </c>
      <c r="D36" s="671"/>
      <c r="E36" s="740">
        <v>7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'통장내역(환율표)'!$D$202</f>
        <v>7.2580999125279417</v>
      </c>
      <c r="M36" s="689">
        <f t="shared" si="5"/>
        <v>41.33313175837948</v>
      </c>
      <c r="N36" s="759">
        <f t="shared" si="3"/>
        <v>228485.86000000016</v>
      </c>
      <c r="O36" s="760">
        <f t="shared" si="4"/>
        <v>31490.652063904596</v>
      </c>
      <c r="P36" s="761" t="s">
        <v>1337</v>
      </c>
      <c r="Q36" s="879"/>
      <c r="R36" s="887"/>
      <c r="S36" s="959">
        <f t="shared" si="6"/>
        <v>31490.649867533652</v>
      </c>
    </row>
    <row r="37" spans="2:19" ht="11.25" customHeight="1">
      <c r="B37" s="639">
        <v>45496</v>
      </c>
      <c r="C37" s="671" t="s">
        <v>897</v>
      </c>
      <c r="D37" s="671"/>
      <c r="E37" s="740">
        <v>7</v>
      </c>
      <c r="F37" s="640" t="s">
        <v>107</v>
      </c>
      <c r="G37" s="640"/>
      <c r="H37" s="642"/>
      <c r="I37" s="758"/>
      <c r="J37" s="643"/>
      <c r="K37" s="709">
        <v>28000</v>
      </c>
      <c r="L37" s="612">
        <f>'통장내역(환율표)'!$D$202</f>
        <v>7.2580999125279417</v>
      </c>
      <c r="M37" s="689">
        <f t="shared" si="5"/>
        <v>3857.7589641154182</v>
      </c>
      <c r="N37" s="759">
        <f t="shared" si="3"/>
        <v>200485.86000000016</v>
      </c>
      <c r="O37" s="760">
        <f t="shared" si="4"/>
        <v>27632.893099789177</v>
      </c>
      <c r="P37" s="761" t="s">
        <v>1337</v>
      </c>
      <c r="Q37" s="879"/>
      <c r="R37" s="887" t="s">
        <v>951</v>
      </c>
      <c r="S37" s="959">
        <f t="shared" si="6"/>
        <v>27632.890903418232</v>
      </c>
    </row>
    <row r="38" spans="2:19" ht="11.25" customHeight="1">
      <c r="B38" s="639">
        <v>45496</v>
      </c>
      <c r="C38" s="671" t="s">
        <v>1324</v>
      </c>
      <c r="D38" s="671"/>
      <c r="E38" s="740">
        <v>7</v>
      </c>
      <c r="F38" s="640" t="s">
        <v>107</v>
      </c>
      <c r="G38" s="640"/>
      <c r="H38" s="642"/>
      <c r="I38" s="758"/>
      <c r="J38" s="643"/>
      <c r="K38" s="709">
        <v>13250</v>
      </c>
      <c r="L38" s="612">
        <f>'통장내역(환율표)'!$D$202</f>
        <v>7.2580999125279417</v>
      </c>
      <c r="M38" s="689">
        <f t="shared" si="5"/>
        <v>1825.5466526617604</v>
      </c>
      <c r="N38" s="759">
        <f t="shared" si="3"/>
        <v>187235.86000000016</v>
      </c>
      <c r="O38" s="760">
        <f t="shared" si="4"/>
        <v>25807.346447127416</v>
      </c>
      <c r="P38" s="761" t="s">
        <v>1337</v>
      </c>
      <c r="Q38" s="879"/>
      <c r="R38" s="887"/>
      <c r="S38" s="959">
        <f t="shared" si="6"/>
        <v>25807.344250756472</v>
      </c>
    </row>
    <row r="39" spans="2:19" ht="11.25" customHeight="1">
      <c r="B39" s="639">
        <v>45496</v>
      </c>
      <c r="C39" s="671" t="s">
        <v>1325</v>
      </c>
      <c r="D39" s="671"/>
      <c r="E39" s="740">
        <v>7</v>
      </c>
      <c r="F39" s="640" t="s">
        <v>107</v>
      </c>
      <c r="G39" s="640"/>
      <c r="H39" s="642"/>
      <c r="I39" s="758"/>
      <c r="J39" s="643"/>
      <c r="K39" s="709">
        <v>7173.94</v>
      </c>
      <c r="L39" s="612">
        <f>'통장내역(환율표)'!$D$202</f>
        <v>7.2580999125279417</v>
      </c>
      <c r="M39" s="689">
        <f t="shared" si="5"/>
        <v>988.40469082236291</v>
      </c>
      <c r="N39" s="759">
        <f t="shared" si="3"/>
        <v>180061.92000000016</v>
      </c>
      <c r="O39" s="760">
        <f t="shared" si="4"/>
        <v>24818.941756305052</v>
      </c>
      <c r="P39" s="761" t="s">
        <v>1337</v>
      </c>
      <c r="Q39" s="879"/>
      <c r="R39" s="887"/>
      <c r="S39" s="959">
        <f t="shared" si="6"/>
        <v>24818.939559934108</v>
      </c>
    </row>
    <row r="40" spans="2:19" ht="11.25" customHeight="1">
      <c r="B40" s="639">
        <v>45496</v>
      </c>
      <c r="C40" s="671" t="s">
        <v>896</v>
      </c>
      <c r="D40" s="671"/>
      <c r="E40" s="740">
        <v>7</v>
      </c>
      <c r="F40" s="640" t="s">
        <v>107</v>
      </c>
      <c r="G40" s="640"/>
      <c r="H40" s="642"/>
      <c r="I40" s="758"/>
      <c r="J40" s="643"/>
      <c r="K40" s="709">
        <v>300</v>
      </c>
      <c r="L40" s="612">
        <f>'통장내역(환율표)'!$D$202</f>
        <v>7.2580999125279417</v>
      </c>
      <c r="M40" s="689">
        <f t="shared" si="5"/>
        <v>41.33313175837948</v>
      </c>
      <c r="N40" s="759">
        <f t="shared" si="3"/>
        <v>179761.92000000016</v>
      </c>
      <c r="O40" s="760">
        <f t="shared" si="4"/>
        <v>24777.608624546672</v>
      </c>
      <c r="P40" s="761" t="s">
        <v>1337</v>
      </c>
      <c r="Q40" s="879"/>
      <c r="R40" s="887"/>
      <c r="S40" s="959">
        <f t="shared" si="6"/>
        <v>24777.606428175728</v>
      </c>
    </row>
    <row r="41" spans="2:19" ht="11.25" customHeight="1">
      <c r="B41" s="639">
        <v>45496</v>
      </c>
      <c r="C41" s="671" t="s">
        <v>1326</v>
      </c>
      <c r="D41" s="671"/>
      <c r="E41" s="740">
        <v>7</v>
      </c>
      <c r="F41" s="640" t="s">
        <v>107</v>
      </c>
      <c r="G41" s="640"/>
      <c r="H41" s="642"/>
      <c r="I41" s="758"/>
      <c r="J41" s="643"/>
      <c r="K41" s="709">
        <v>1300</v>
      </c>
      <c r="L41" s="612">
        <f>'통장내역(환율표)'!$D$202</f>
        <v>7.2580999125279417</v>
      </c>
      <c r="M41" s="689">
        <f t="shared" si="5"/>
        <v>179.11023761964441</v>
      </c>
      <c r="N41" s="759">
        <f t="shared" si="3"/>
        <v>178461.92000000016</v>
      </c>
      <c r="O41" s="760">
        <f t="shared" si="4"/>
        <v>24598.498386927029</v>
      </c>
      <c r="P41" s="761" t="s">
        <v>1337</v>
      </c>
      <c r="Q41" s="879"/>
      <c r="R41" s="887"/>
      <c r="S41" s="959">
        <f t="shared" si="6"/>
        <v>24598.496190556085</v>
      </c>
    </row>
    <row r="42" spans="2:19" ht="11.25" customHeight="1">
      <c r="B42" s="639">
        <v>45496</v>
      </c>
      <c r="C42" s="671" t="s">
        <v>897</v>
      </c>
      <c r="D42" s="671"/>
      <c r="E42" s="740">
        <v>7</v>
      </c>
      <c r="F42" s="640" t="s">
        <v>107</v>
      </c>
      <c r="G42" s="640"/>
      <c r="H42" s="642"/>
      <c r="I42" s="758"/>
      <c r="J42" s="643"/>
      <c r="K42" s="709">
        <v>14560</v>
      </c>
      <c r="L42" s="612">
        <f>'통장내역(환율표)'!$D$202</f>
        <v>7.2580999125279417</v>
      </c>
      <c r="M42" s="689">
        <f t="shared" si="5"/>
        <v>2006.0346613400175</v>
      </c>
      <c r="N42" s="759">
        <f t="shared" si="3"/>
        <v>163901.92000000016</v>
      </c>
      <c r="O42" s="760">
        <f t="shared" si="4"/>
        <v>22592.463725587011</v>
      </c>
      <c r="P42" s="761" t="s">
        <v>1337</v>
      </c>
      <c r="Q42" s="879"/>
      <c r="R42" s="887" t="s">
        <v>1329</v>
      </c>
      <c r="S42" s="959">
        <f t="shared" si="6"/>
        <v>22592.461529216067</v>
      </c>
    </row>
    <row r="43" spans="2:19" ht="11.25" customHeight="1">
      <c r="B43" s="639">
        <v>45496</v>
      </c>
      <c r="C43" s="671" t="s">
        <v>1324</v>
      </c>
      <c r="D43" s="671"/>
      <c r="E43" s="740">
        <v>7</v>
      </c>
      <c r="F43" s="640" t="s">
        <v>107</v>
      </c>
      <c r="G43" s="640"/>
      <c r="H43" s="642"/>
      <c r="I43" s="758"/>
      <c r="J43" s="643"/>
      <c r="K43" s="709">
        <v>4240</v>
      </c>
      <c r="L43" s="612">
        <f>'통장내역(환율표)'!$D$202</f>
        <v>7.2580999125279417</v>
      </c>
      <c r="M43" s="689">
        <f t="shared" si="5"/>
        <v>584.1749288517633</v>
      </c>
      <c r="N43" s="759">
        <f t="shared" si="3"/>
        <v>159661.92000000016</v>
      </c>
      <c r="O43" s="760">
        <f t="shared" si="4"/>
        <v>22008.288796735247</v>
      </c>
      <c r="P43" s="761" t="s">
        <v>1337</v>
      </c>
      <c r="Q43" s="879"/>
      <c r="R43" s="887"/>
      <c r="S43" s="959">
        <f t="shared" si="6"/>
        <v>22008.286600364303</v>
      </c>
    </row>
    <row r="44" spans="2:19" ht="11.25" customHeight="1">
      <c r="B44" s="639">
        <v>45496</v>
      </c>
      <c r="C44" s="671" t="s">
        <v>1327</v>
      </c>
      <c r="D44" s="671"/>
      <c r="E44" s="740">
        <v>7</v>
      </c>
      <c r="F44" s="640" t="s">
        <v>107</v>
      </c>
      <c r="G44" s="640"/>
      <c r="H44" s="642"/>
      <c r="I44" s="758"/>
      <c r="J44" s="643"/>
      <c r="K44" s="709">
        <v>3147.67</v>
      </c>
      <c r="L44" s="612">
        <f>'통장내역(환율표)'!$D$202</f>
        <v>7.2580999125279417</v>
      </c>
      <c r="M44" s="689">
        <f t="shared" si="5"/>
        <v>433.67686280632779</v>
      </c>
      <c r="N44" s="759">
        <f t="shared" si="3"/>
        <v>156514.25000000015</v>
      </c>
      <c r="O44" s="760">
        <f t="shared" si="4"/>
        <v>21574.611933928918</v>
      </c>
      <c r="P44" s="761" t="s">
        <v>1337</v>
      </c>
      <c r="Q44" s="879"/>
      <c r="R44" s="887"/>
      <c r="S44" s="959">
        <f t="shared" si="6"/>
        <v>21574.609737557974</v>
      </c>
    </row>
    <row r="45" spans="2:19" ht="11.25" customHeight="1">
      <c r="B45" s="639">
        <v>45496</v>
      </c>
      <c r="C45" s="671" t="s">
        <v>896</v>
      </c>
      <c r="D45" s="671"/>
      <c r="E45" s="740">
        <v>7</v>
      </c>
      <c r="F45" s="640" t="s">
        <v>107</v>
      </c>
      <c r="G45" s="640"/>
      <c r="H45" s="642"/>
      <c r="I45" s="758"/>
      <c r="J45" s="643"/>
      <c r="K45" s="709">
        <v>300</v>
      </c>
      <c r="L45" s="612">
        <f>'통장내역(환율표)'!$D$202</f>
        <v>7.2580999125279417</v>
      </c>
      <c r="M45" s="689">
        <f t="shared" si="5"/>
        <v>41.33313175837948</v>
      </c>
      <c r="N45" s="759">
        <f t="shared" si="3"/>
        <v>156214.25000000015</v>
      </c>
      <c r="O45" s="760">
        <f t="shared" si="4"/>
        <v>21533.278802170538</v>
      </c>
      <c r="P45" s="761" t="s">
        <v>1337</v>
      </c>
      <c r="Q45" s="879"/>
      <c r="R45" s="887"/>
      <c r="S45" s="959">
        <f t="shared" si="6"/>
        <v>21533.276605799594</v>
      </c>
    </row>
    <row r="46" spans="2:19" ht="11.25" customHeight="1">
      <c r="B46" s="639">
        <v>45496</v>
      </c>
      <c r="C46" s="671" t="s">
        <v>1326</v>
      </c>
      <c r="D46" s="671"/>
      <c r="E46" s="740">
        <v>7</v>
      </c>
      <c r="F46" s="640" t="s">
        <v>107</v>
      </c>
      <c r="G46" s="640"/>
      <c r="H46" s="642"/>
      <c r="I46" s="758"/>
      <c r="J46" s="643"/>
      <c r="K46" s="709">
        <v>200</v>
      </c>
      <c r="L46" s="612">
        <f>'통장내역(환율표)'!$D$202</f>
        <v>7.2580999125279417</v>
      </c>
      <c r="M46" s="689">
        <f t="shared" si="5"/>
        <v>27.555421172252988</v>
      </c>
      <c r="N46" s="759">
        <f t="shared" si="3"/>
        <v>156014.25000000015</v>
      </c>
      <c r="O46" s="760">
        <f t="shared" si="4"/>
        <v>21505.723380998286</v>
      </c>
      <c r="P46" s="761" t="s">
        <v>1337</v>
      </c>
      <c r="Q46" s="879"/>
      <c r="R46" s="887"/>
      <c r="S46" s="959">
        <f t="shared" si="6"/>
        <v>21505.721184627342</v>
      </c>
    </row>
    <row r="47" spans="2:19" ht="11.25" customHeight="1">
      <c r="B47" s="639">
        <v>45496</v>
      </c>
      <c r="C47" s="671" t="s">
        <v>897</v>
      </c>
      <c r="D47" s="671"/>
      <c r="E47" s="740">
        <v>7</v>
      </c>
      <c r="F47" s="640" t="s">
        <v>107</v>
      </c>
      <c r="G47" s="640"/>
      <c r="H47" s="642"/>
      <c r="I47" s="758"/>
      <c r="J47" s="643"/>
      <c r="K47" s="709">
        <v>28000</v>
      </c>
      <c r="L47" s="612">
        <f>'통장내역(환율표)'!$D$202</f>
        <v>7.2580999125279417</v>
      </c>
      <c r="M47" s="689">
        <f t="shared" si="5"/>
        <v>3857.7589641154182</v>
      </c>
      <c r="N47" s="759">
        <f t="shared" si="3"/>
        <v>128014.25000000015</v>
      </c>
      <c r="O47" s="760">
        <f t="shared" si="4"/>
        <v>17647.964416882867</v>
      </c>
      <c r="P47" s="761" t="s">
        <v>1337</v>
      </c>
      <c r="Q47" s="879"/>
      <c r="R47" s="887" t="s">
        <v>1330</v>
      </c>
      <c r="S47" s="959">
        <f t="shared" si="6"/>
        <v>17647.962220511923</v>
      </c>
    </row>
    <row r="48" spans="2:19" ht="11.25" customHeight="1">
      <c r="B48" s="639">
        <v>45496</v>
      </c>
      <c r="C48" s="671" t="s">
        <v>1324</v>
      </c>
      <c r="D48" s="671"/>
      <c r="E48" s="740">
        <v>7</v>
      </c>
      <c r="F48" s="640" t="s">
        <v>107</v>
      </c>
      <c r="G48" s="640"/>
      <c r="H48" s="642"/>
      <c r="I48" s="758"/>
      <c r="J48" s="643"/>
      <c r="K48" s="709">
        <v>10600</v>
      </c>
      <c r="L48" s="612">
        <f>'통장내역(환율표)'!$D$202</f>
        <v>7.2580999125279417</v>
      </c>
      <c r="M48" s="689">
        <f t="shared" si="5"/>
        <v>1460.4373221294084</v>
      </c>
      <c r="N48" s="759">
        <f t="shared" si="3"/>
        <v>117414.25000000015</v>
      </c>
      <c r="O48" s="760">
        <f t="shared" si="4"/>
        <v>16187.527094753459</v>
      </c>
      <c r="P48" s="761" t="s">
        <v>1337</v>
      </c>
      <c r="Q48" s="879"/>
      <c r="R48" s="887"/>
      <c r="S48" s="959">
        <f t="shared" si="6"/>
        <v>16187.524898382515</v>
      </c>
    </row>
    <row r="49" spans="2:19" ht="11.25" customHeight="1">
      <c r="B49" s="639">
        <v>45496</v>
      </c>
      <c r="C49" s="671" t="s">
        <v>1327</v>
      </c>
      <c r="D49" s="671"/>
      <c r="E49" s="740">
        <v>7</v>
      </c>
      <c r="F49" s="640" t="s">
        <v>107</v>
      </c>
      <c r="G49" s="640"/>
      <c r="H49" s="642"/>
      <c r="I49" s="758"/>
      <c r="J49" s="643"/>
      <c r="K49" s="709">
        <v>7173.94</v>
      </c>
      <c r="L49" s="612">
        <f>'통장내역(환율표)'!$D$202</f>
        <v>7.2580999125279417</v>
      </c>
      <c r="M49" s="689">
        <f t="shared" si="5"/>
        <v>988.40469082236291</v>
      </c>
      <c r="N49" s="759">
        <f t="shared" si="3"/>
        <v>110240.31000000014</v>
      </c>
      <c r="O49" s="760">
        <f t="shared" si="4"/>
        <v>15199.122403931096</v>
      </c>
      <c r="P49" s="761" t="s">
        <v>1337</v>
      </c>
      <c r="Q49" s="879"/>
      <c r="R49" s="887"/>
      <c r="S49" s="959">
        <f t="shared" si="6"/>
        <v>15199.120207560152</v>
      </c>
    </row>
    <row r="50" spans="2:19" ht="11.25" customHeight="1">
      <c r="B50" s="639">
        <v>45496</v>
      </c>
      <c r="C50" s="671" t="s">
        <v>896</v>
      </c>
      <c r="D50" s="671"/>
      <c r="E50" s="740">
        <v>7</v>
      </c>
      <c r="F50" s="640" t="s">
        <v>107</v>
      </c>
      <c r="G50" s="640"/>
      <c r="H50" s="642"/>
      <c r="I50" s="758"/>
      <c r="J50" s="643"/>
      <c r="K50" s="709">
        <v>300</v>
      </c>
      <c r="L50" s="612">
        <f>'통장내역(환율표)'!$D$202</f>
        <v>7.2580999125279417</v>
      </c>
      <c r="M50" s="689">
        <f t="shared" si="5"/>
        <v>41.33313175837948</v>
      </c>
      <c r="N50" s="759">
        <f t="shared" si="3"/>
        <v>109940.31000000014</v>
      </c>
      <c r="O50" s="760">
        <f t="shared" si="4"/>
        <v>15157.789272172717</v>
      </c>
      <c r="P50" s="761" t="s">
        <v>1337</v>
      </c>
      <c r="Q50" s="879"/>
      <c r="R50" s="887"/>
      <c r="S50" s="959">
        <f t="shared" si="6"/>
        <v>15157.787075801773</v>
      </c>
    </row>
    <row r="51" spans="2:19" ht="11.25" customHeight="1">
      <c r="B51" s="639">
        <v>45496</v>
      </c>
      <c r="C51" s="671" t="s">
        <v>250</v>
      </c>
      <c r="D51" s="671"/>
      <c r="E51" s="740">
        <v>8</v>
      </c>
      <c r="F51" s="640" t="s">
        <v>107</v>
      </c>
      <c r="G51" s="640"/>
      <c r="H51" s="642"/>
      <c r="I51" s="758"/>
      <c r="J51" s="643"/>
      <c r="K51" s="709">
        <v>12</v>
      </c>
      <c r="L51" s="612">
        <f>'통장내역(환율표)'!$D$202</f>
        <v>7.2580999125279417</v>
      </c>
      <c r="M51" s="689">
        <f t="shared" si="5"/>
        <v>1.6533252703351793</v>
      </c>
      <c r="N51" s="759">
        <f t="shared" ref="N51:N82" si="7">N50+H51-K51</f>
        <v>109928.31000000014</v>
      </c>
      <c r="O51" s="760">
        <f t="shared" si="4"/>
        <v>15156.135946902381</v>
      </c>
      <c r="P51" s="761" t="s">
        <v>1337</v>
      </c>
      <c r="Q51" s="881"/>
      <c r="R51" s="887"/>
      <c r="S51" s="959">
        <f t="shared" si="6"/>
        <v>15156.133750531437</v>
      </c>
    </row>
    <row r="52" spans="2:19" ht="11.25" customHeight="1">
      <c r="B52" s="639">
        <v>45496</v>
      </c>
      <c r="C52" s="671" t="s">
        <v>352</v>
      </c>
      <c r="D52" s="671"/>
      <c r="E52" s="740">
        <v>9</v>
      </c>
      <c r="F52" s="640" t="s">
        <v>107</v>
      </c>
      <c r="G52" s="640"/>
      <c r="H52" s="642"/>
      <c r="I52" s="758"/>
      <c r="J52" s="643"/>
      <c r="K52" s="709">
        <v>1010</v>
      </c>
      <c r="L52" s="612">
        <f>'통장내역(환율표)'!$D$202</f>
        <v>7.2580999125279417</v>
      </c>
      <c r="M52" s="689">
        <f t="shared" si="5"/>
        <v>139.15487691987758</v>
      </c>
      <c r="N52" s="759">
        <f t="shared" si="7"/>
        <v>108918.31000000014</v>
      </c>
      <c r="O52" s="760">
        <f t="shared" si="4"/>
        <v>15016.981069982503</v>
      </c>
      <c r="P52" s="761" t="s">
        <v>1337</v>
      </c>
      <c r="Q52" s="881"/>
      <c r="R52" s="887"/>
      <c r="S52" s="959">
        <f t="shared" si="6"/>
        <v>15016.978873611559</v>
      </c>
    </row>
    <row r="53" spans="2:19" ht="11.25" customHeight="1">
      <c r="B53" s="639">
        <v>45496</v>
      </c>
      <c r="C53" s="671" t="s">
        <v>250</v>
      </c>
      <c r="D53" s="671"/>
      <c r="E53" s="740">
        <v>10</v>
      </c>
      <c r="F53" s="640" t="s">
        <v>107</v>
      </c>
      <c r="G53" s="640"/>
      <c r="H53" s="642"/>
      <c r="I53" s="758"/>
      <c r="J53" s="643"/>
      <c r="K53" s="709">
        <v>3.6</v>
      </c>
      <c r="L53" s="612">
        <f>'통장내역(환율표)'!$D$202</f>
        <v>7.2580999125279417</v>
      </c>
      <c r="M53" s="689">
        <f t="shared" si="5"/>
        <v>0.49599758110055381</v>
      </c>
      <c r="N53" s="759">
        <f t="shared" si="7"/>
        <v>108914.71000000014</v>
      </c>
      <c r="O53" s="760">
        <f t="shared" si="4"/>
        <v>15016.485072401403</v>
      </c>
      <c r="P53" s="761" t="s">
        <v>1337</v>
      </c>
      <c r="Q53" s="881"/>
      <c r="R53" s="887"/>
      <c r="S53" s="959">
        <f t="shared" si="6"/>
        <v>15016.482876030459</v>
      </c>
    </row>
    <row r="54" spans="2:19" ht="11.25" customHeight="1">
      <c r="B54" s="639">
        <v>45496</v>
      </c>
      <c r="C54" s="671" t="s">
        <v>305</v>
      </c>
      <c r="D54" s="671"/>
      <c r="E54" s="740">
        <v>11</v>
      </c>
      <c r="F54" s="640" t="s">
        <v>105</v>
      </c>
      <c r="G54" s="640" t="s">
        <v>227</v>
      </c>
      <c r="H54" s="642"/>
      <c r="I54" s="758"/>
      <c r="J54" s="643"/>
      <c r="K54" s="709">
        <v>10500</v>
      </c>
      <c r="L54" s="612">
        <f>'통장내역(환율표)'!$D$202</f>
        <v>7.2580999125279417</v>
      </c>
      <c r="M54" s="689">
        <f t="shared" si="5"/>
        <v>1446.6596115432819</v>
      </c>
      <c r="N54" s="759">
        <f t="shared" si="7"/>
        <v>98414.710000000137</v>
      </c>
      <c r="O54" s="760">
        <f t="shared" si="4"/>
        <v>13569.825460858121</v>
      </c>
      <c r="P54" s="761" t="s">
        <v>1337</v>
      </c>
      <c r="Q54" s="879"/>
      <c r="R54" s="887"/>
      <c r="S54" s="959">
        <f t="shared" si="6"/>
        <v>13569.823264487177</v>
      </c>
    </row>
    <row r="55" spans="2:19" ht="11.25" customHeight="1">
      <c r="B55" s="639">
        <v>45496</v>
      </c>
      <c r="C55" s="671" t="s">
        <v>1116</v>
      </c>
      <c r="D55" s="671"/>
      <c r="E55" s="740">
        <v>12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'통장내역(환율표)'!$D$202</f>
        <v>7.2580999125279417</v>
      </c>
      <c r="M55" s="689">
        <f t="shared" si="5"/>
        <v>826.66263516758966</v>
      </c>
      <c r="N55" s="759">
        <f t="shared" si="7"/>
        <v>92414.710000000137</v>
      </c>
      <c r="O55" s="760">
        <f t="shared" si="4"/>
        <v>12743.162825690531</v>
      </c>
      <c r="P55" s="761" t="s">
        <v>1337</v>
      </c>
      <c r="Q55" s="881"/>
      <c r="R55" s="887"/>
      <c r="S55" s="959">
        <f t="shared" si="6"/>
        <v>12743.160629319587</v>
      </c>
    </row>
    <row r="56" spans="2:19" ht="11.25" customHeight="1">
      <c r="B56" s="639">
        <v>45496</v>
      </c>
      <c r="C56" s="671" t="s">
        <v>1117</v>
      </c>
      <c r="D56" s="671"/>
      <c r="E56" s="740">
        <v>13</v>
      </c>
      <c r="F56" s="640" t="s">
        <v>107</v>
      </c>
      <c r="G56" s="640"/>
      <c r="H56" s="642"/>
      <c r="I56" s="758"/>
      <c r="J56" s="643"/>
      <c r="K56" s="709">
        <v>120</v>
      </c>
      <c r="L56" s="612">
        <f>'통장내역(환율표)'!$D$202</f>
        <v>7.2580999125279417</v>
      </c>
      <c r="M56" s="689">
        <f t="shared" si="5"/>
        <v>16.533252703351792</v>
      </c>
      <c r="N56" s="759">
        <f t="shared" si="7"/>
        <v>92294.710000000137</v>
      </c>
      <c r="O56" s="760">
        <f t="shared" si="4"/>
        <v>12726.62957298718</v>
      </c>
      <c r="P56" s="761" t="s">
        <v>1337</v>
      </c>
      <c r="Q56" s="881"/>
      <c r="R56" s="887"/>
      <c r="S56" s="959">
        <f t="shared" si="6"/>
        <v>12726.627376616236</v>
      </c>
    </row>
    <row r="57" spans="2:19" ht="11.25" customHeight="1">
      <c r="B57" s="639">
        <v>45496</v>
      </c>
      <c r="C57" s="671" t="s">
        <v>305</v>
      </c>
      <c r="D57" s="671"/>
      <c r="E57" s="740">
        <v>14</v>
      </c>
      <c r="F57" s="640" t="s">
        <v>105</v>
      </c>
      <c r="G57" s="640" t="s">
        <v>227</v>
      </c>
      <c r="H57" s="642"/>
      <c r="I57" s="758"/>
      <c r="J57" s="643"/>
      <c r="K57" s="709">
        <v>7000</v>
      </c>
      <c r="L57" s="612">
        <f>'통장내역(환율표)'!$D$202</f>
        <v>7.2580999125279417</v>
      </c>
      <c r="M57" s="689">
        <f t="shared" si="5"/>
        <v>964.43974102885454</v>
      </c>
      <c r="N57" s="759">
        <f t="shared" si="7"/>
        <v>85294.710000000137</v>
      </c>
      <c r="O57" s="760">
        <f t="shared" si="4"/>
        <v>11762.189831958325</v>
      </c>
      <c r="P57" s="761" t="s">
        <v>1337</v>
      </c>
      <c r="Q57" s="881"/>
      <c r="R57" s="887"/>
      <c r="S57" s="959">
        <f t="shared" si="6"/>
        <v>11762.187635587381</v>
      </c>
    </row>
    <row r="58" spans="2:19" ht="11.25" customHeight="1">
      <c r="B58" s="639">
        <v>45496</v>
      </c>
      <c r="C58" s="671" t="s">
        <v>1116</v>
      </c>
      <c r="D58" s="671"/>
      <c r="E58" s="740">
        <v>15</v>
      </c>
      <c r="F58" s="640" t="s">
        <v>107</v>
      </c>
      <c r="G58" s="640"/>
      <c r="H58" s="642"/>
      <c r="I58" s="758"/>
      <c r="J58" s="643"/>
      <c r="K58" s="709">
        <v>6000</v>
      </c>
      <c r="L58" s="612">
        <f>'통장내역(환율표)'!$D$202</f>
        <v>7.2580999125279417</v>
      </c>
      <c r="M58" s="689">
        <f t="shared" si="5"/>
        <v>826.66263516758966</v>
      </c>
      <c r="N58" s="759">
        <f t="shared" si="7"/>
        <v>79294.710000000137</v>
      </c>
      <c r="O58" s="760">
        <f t="shared" si="4"/>
        <v>10935.527196790736</v>
      </c>
      <c r="P58" s="761" t="s">
        <v>1337</v>
      </c>
      <c r="Q58" s="881"/>
      <c r="R58" s="887"/>
      <c r="S58" s="959">
        <f t="shared" si="6"/>
        <v>10935.525000419791</v>
      </c>
    </row>
    <row r="59" spans="2:19" ht="11.25" customHeight="1">
      <c r="B59" s="639">
        <v>45496</v>
      </c>
      <c r="C59" s="671" t="s">
        <v>1117</v>
      </c>
      <c r="D59" s="671"/>
      <c r="E59" s="740">
        <v>16</v>
      </c>
      <c r="F59" s="640" t="s">
        <v>107</v>
      </c>
      <c r="G59" s="640"/>
      <c r="H59" s="642"/>
      <c r="I59" s="758"/>
      <c r="J59" s="643"/>
      <c r="K59" s="709">
        <v>540</v>
      </c>
      <c r="L59" s="612">
        <f>'통장내역(환율표)'!$D$202</f>
        <v>7.2580999125279417</v>
      </c>
      <c r="M59" s="689">
        <f t="shared" si="5"/>
        <v>74.399637165083064</v>
      </c>
      <c r="N59" s="759">
        <f t="shared" si="7"/>
        <v>78754.710000000137</v>
      </c>
      <c r="O59" s="760">
        <f t="shared" si="4"/>
        <v>10861.127559625653</v>
      </c>
      <c r="P59" s="761" t="s">
        <v>1337</v>
      </c>
      <c r="Q59" s="881"/>
      <c r="R59" s="887"/>
      <c r="S59" s="959">
        <f t="shared" si="6"/>
        <v>10861.125363254709</v>
      </c>
    </row>
    <row r="60" spans="2:19" ht="11.25" customHeight="1">
      <c r="B60" s="639">
        <v>45496</v>
      </c>
      <c r="C60" s="671" t="s">
        <v>445</v>
      </c>
      <c r="D60" s="671"/>
      <c r="E60" s="740">
        <v>17</v>
      </c>
      <c r="F60" s="640" t="s">
        <v>107</v>
      </c>
      <c r="G60" s="640"/>
      <c r="H60" s="642"/>
      <c r="I60" s="758"/>
      <c r="J60" s="643"/>
      <c r="K60" s="709">
        <v>7.2</v>
      </c>
      <c r="L60" s="612">
        <f>'통장내역(환율표)'!$D$202</f>
        <v>7.2580999125279417</v>
      </c>
      <c r="M60" s="689">
        <f t="shared" ref="M60:M89" si="8">K60/L60</f>
        <v>0.99199516220110762</v>
      </c>
      <c r="N60" s="759">
        <f t="shared" si="7"/>
        <v>78747.51000000014</v>
      </c>
      <c r="O60" s="760">
        <f t="shared" si="4"/>
        <v>10860.135564463451</v>
      </c>
      <c r="P60" s="761" t="s">
        <v>1337</v>
      </c>
      <c r="Q60" s="881"/>
      <c r="R60" s="887"/>
      <c r="S60" s="959">
        <f t="shared" si="6"/>
        <v>10860.133368092507</v>
      </c>
    </row>
    <row r="61" spans="2:19" ht="11.25" customHeight="1">
      <c r="B61" s="639">
        <v>45496</v>
      </c>
      <c r="C61" s="671" t="s">
        <v>1006</v>
      </c>
      <c r="D61" s="671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09">
        <v>336.4</v>
      </c>
      <c r="L61" s="612">
        <f>'통장내역(환율표)'!$D$202</f>
        <v>7.2580999125279417</v>
      </c>
      <c r="M61" s="689">
        <f t="shared" si="8"/>
        <v>46.348218411729519</v>
      </c>
      <c r="N61" s="759">
        <f t="shared" si="7"/>
        <v>78411.110000000146</v>
      </c>
      <c r="O61" s="760">
        <f t="shared" si="4"/>
        <v>10813.787346051722</v>
      </c>
      <c r="P61" s="761" t="s">
        <v>1337</v>
      </c>
      <c r="Q61" s="881"/>
      <c r="R61" s="887"/>
      <c r="S61" s="959">
        <f t="shared" si="6"/>
        <v>10813.785149680778</v>
      </c>
    </row>
    <row r="62" spans="2:19" ht="11.25" customHeight="1">
      <c r="B62" s="639">
        <v>45496</v>
      </c>
      <c r="C62" s="671" t="s">
        <v>1007</v>
      </c>
      <c r="D62" s="671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09">
        <v>691</v>
      </c>
      <c r="L62" s="612">
        <f>'통장내역(환율표)'!$D$202</f>
        <v>7.2580999125279417</v>
      </c>
      <c r="M62" s="689">
        <f t="shared" si="8"/>
        <v>95.203980150134072</v>
      </c>
      <c r="N62" s="759">
        <f t="shared" si="7"/>
        <v>77720.110000000146</v>
      </c>
      <c r="O62" s="760">
        <f t="shared" si="4"/>
        <v>10718.583365901588</v>
      </c>
      <c r="P62" s="761" t="s">
        <v>1337</v>
      </c>
      <c r="Q62" s="881"/>
      <c r="R62" s="887"/>
      <c r="S62" s="959">
        <f t="shared" si="6"/>
        <v>10718.581169530644</v>
      </c>
    </row>
    <row r="63" spans="2:19" ht="11.25" customHeight="1">
      <c r="B63" s="639">
        <v>45496</v>
      </c>
      <c r="C63" s="671" t="s">
        <v>1008</v>
      </c>
      <c r="D63" s="671"/>
      <c r="E63" s="740">
        <v>20</v>
      </c>
      <c r="F63" s="640" t="s">
        <v>146</v>
      </c>
      <c r="G63" s="640" t="s">
        <v>147</v>
      </c>
      <c r="H63" s="642"/>
      <c r="I63" s="758"/>
      <c r="J63" s="643"/>
      <c r="K63" s="709">
        <v>2983</v>
      </c>
      <c r="L63" s="612">
        <f>'통장내역(환율표)'!$D$202</f>
        <v>7.2580999125279417</v>
      </c>
      <c r="M63" s="689">
        <f t="shared" si="8"/>
        <v>410.98910678415331</v>
      </c>
      <c r="N63" s="759">
        <f t="shared" si="7"/>
        <v>74737.110000000146</v>
      </c>
      <c r="O63" s="760">
        <f t="shared" si="4"/>
        <v>10307.594259117435</v>
      </c>
      <c r="P63" s="761" t="s">
        <v>1337</v>
      </c>
      <c r="Q63" s="881"/>
      <c r="R63" s="887"/>
      <c r="S63" s="959">
        <f t="shared" si="6"/>
        <v>10307.592062746491</v>
      </c>
    </row>
    <row r="64" spans="2:19" ht="11.25" customHeight="1">
      <c r="B64" s="639">
        <v>45496</v>
      </c>
      <c r="C64" s="671" t="s">
        <v>250</v>
      </c>
      <c r="D64" s="671"/>
      <c r="E64" s="740">
        <v>21</v>
      </c>
      <c r="F64" s="640" t="s">
        <v>107</v>
      </c>
      <c r="G64" s="640"/>
      <c r="H64" s="642"/>
      <c r="I64" s="758"/>
      <c r="J64" s="643"/>
      <c r="K64" s="709">
        <v>3.6</v>
      </c>
      <c r="L64" s="612">
        <f>'통장내역(환율표)'!$D$202</f>
        <v>7.2580999125279417</v>
      </c>
      <c r="M64" s="689">
        <f t="shared" si="8"/>
        <v>0.49599758110055381</v>
      </c>
      <c r="N64" s="759">
        <f t="shared" si="7"/>
        <v>74733.51000000014</v>
      </c>
      <c r="O64" s="760">
        <f t="shared" si="4"/>
        <v>10307.098261536335</v>
      </c>
      <c r="P64" s="761" t="s">
        <v>1337</v>
      </c>
      <c r="Q64" s="881"/>
      <c r="R64" s="887"/>
      <c r="S64" s="959">
        <f t="shared" si="6"/>
        <v>10307.096065165391</v>
      </c>
    </row>
    <row r="65" spans="2:19" ht="11.25" customHeight="1">
      <c r="B65" s="639">
        <v>45496</v>
      </c>
      <c r="C65" s="671" t="s">
        <v>1003</v>
      </c>
      <c r="D65" s="671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709">
        <v>41</v>
      </c>
      <c r="L65" s="612">
        <f>'통장내역(환율표)'!$D$202</f>
        <v>7.2580999125279417</v>
      </c>
      <c r="M65" s="689">
        <f t="shared" si="8"/>
        <v>5.6488613403118624</v>
      </c>
      <c r="N65" s="759">
        <f t="shared" si="7"/>
        <v>74692.51000000014</v>
      </c>
      <c r="O65" s="760">
        <f t="shared" si="4"/>
        <v>10301.449400196023</v>
      </c>
      <c r="P65" s="761" t="s">
        <v>1337</v>
      </c>
      <c r="Q65" s="881"/>
      <c r="R65" s="887"/>
      <c r="S65" s="959">
        <f t="shared" si="6"/>
        <v>10301.447203825079</v>
      </c>
    </row>
    <row r="66" spans="2:19" ht="11.25" customHeight="1">
      <c r="B66" s="639">
        <v>45496</v>
      </c>
      <c r="C66" s="671" t="s">
        <v>1004</v>
      </c>
      <c r="D66" s="671"/>
      <c r="E66" s="740">
        <v>23</v>
      </c>
      <c r="F66" s="640" t="s">
        <v>146</v>
      </c>
      <c r="G66" s="640" t="s">
        <v>147</v>
      </c>
      <c r="H66" s="642"/>
      <c r="I66" s="758"/>
      <c r="J66" s="643"/>
      <c r="K66" s="709">
        <v>70</v>
      </c>
      <c r="L66" s="612">
        <f>'통장내역(환율표)'!$D$202</f>
        <v>7.2580999125279417</v>
      </c>
      <c r="M66" s="689">
        <f t="shared" si="8"/>
        <v>9.6443974102885459</v>
      </c>
      <c r="N66" s="759">
        <f t="shared" si="7"/>
        <v>74622.51000000014</v>
      </c>
      <c r="O66" s="760">
        <f t="shared" si="4"/>
        <v>10291.805002785735</v>
      </c>
      <c r="P66" s="761" t="s">
        <v>1337</v>
      </c>
      <c r="Q66" s="881"/>
      <c r="R66" s="887"/>
      <c r="S66" s="959">
        <f t="shared" si="6"/>
        <v>10291.802806414791</v>
      </c>
    </row>
    <row r="67" spans="2:19" ht="11.25" customHeight="1">
      <c r="B67" s="639">
        <v>45496</v>
      </c>
      <c r="C67" s="671" t="s">
        <v>1005</v>
      </c>
      <c r="D67" s="671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09">
        <v>1263.8900000000001</v>
      </c>
      <c r="L67" s="612">
        <f>'통장내역(환율표)'!$D$202</f>
        <v>7.2580999125279417</v>
      </c>
      <c r="M67" s="689">
        <f t="shared" si="8"/>
        <v>174.13510632699416</v>
      </c>
      <c r="N67" s="759">
        <f t="shared" si="7"/>
        <v>73358.620000000141</v>
      </c>
      <c r="O67" s="760">
        <f t="shared" si="4"/>
        <v>10117.669896458741</v>
      </c>
      <c r="P67" s="761" t="s">
        <v>1337</v>
      </c>
      <c r="Q67" s="879"/>
      <c r="R67" s="887"/>
      <c r="S67" s="959">
        <f t="shared" si="6"/>
        <v>10117.667700087797</v>
      </c>
    </row>
    <row r="68" spans="2:19" ht="11.25" customHeight="1">
      <c r="B68" s="639">
        <v>45496</v>
      </c>
      <c r="C68" s="644" t="s">
        <v>250</v>
      </c>
      <c r="D68" s="644"/>
      <c r="E68" s="740">
        <v>25</v>
      </c>
      <c r="F68" s="640" t="s">
        <v>107</v>
      </c>
      <c r="G68" s="640"/>
      <c r="H68" s="642"/>
      <c r="I68" s="758"/>
      <c r="J68" s="643"/>
      <c r="K68" s="709">
        <v>3.6</v>
      </c>
      <c r="L68" s="612">
        <f>'통장내역(환율표)'!$D$202</f>
        <v>7.2580999125279417</v>
      </c>
      <c r="M68" s="689">
        <f t="shared" si="8"/>
        <v>0.49599758110055381</v>
      </c>
      <c r="N68" s="759">
        <f t="shared" si="7"/>
        <v>73355.020000000135</v>
      </c>
      <c r="O68" s="760">
        <f t="shared" si="4"/>
        <v>10117.173898877641</v>
      </c>
      <c r="P68" s="761" t="s">
        <v>1337</v>
      </c>
      <c r="Q68" s="879"/>
      <c r="R68" s="887"/>
      <c r="S68" s="959">
        <f t="shared" si="6"/>
        <v>10117.171702506697</v>
      </c>
    </row>
    <row r="69" spans="2:19" ht="11.25" customHeight="1">
      <c r="B69" s="639">
        <v>45496</v>
      </c>
      <c r="C69" s="644" t="s">
        <v>1331</v>
      </c>
      <c r="D69" s="644"/>
      <c r="E69" s="740">
        <v>26</v>
      </c>
      <c r="F69" s="640" t="s">
        <v>125</v>
      </c>
      <c r="G69" s="640" t="s">
        <v>145</v>
      </c>
      <c r="H69" s="642"/>
      <c r="I69" s="758"/>
      <c r="J69" s="643"/>
      <c r="K69" s="709">
        <v>167.3</v>
      </c>
      <c r="L69" s="612">
        <f>'통장내역(환율표)'!$D$202</f>
        <v>7.2580999125279417</v>
      </c>
      <c r="M69" s="689">
        <f t="shared" si="8"/>
        <v>23.050109810589625</v>
      </c>
      <c r="N69" s="759">
        <f t="shared" si="7"/>
        <v>73187.720000000132</v>
      </c>
      <c r="O69" s="760">
        <f t="shared" si="4"/>
        <v>10094.123789067053</v>
      </c>
      <c r="P69" s="761" t="s">
        <v>1337</v>
      </c>
      <c r="Q69" s="879"/>
      <c r="R69" s="887"/>
      <c r="S69" s="959">
        <f t="shared" si="6"/>
        <v>10094.121592696109</v>
      </c>
    </row>
    <row r="70" spans="2:19" ht="11.25" customHeight="1">
      <c r="B70" s="639">
        <v>45496</v>
      </c>
      <c r="C70" s="671" t="s">
        <v>1020</v>
      </c>
      <c r="D70" s="671"/>
      <c r="E70" s="740">
        <v>27</v>
      </c>
      <c r="F70" s="640" t="s">
        <v>116</v>
      </c>
      <c r="G70" s="640" t="s">
        <v>140</v>
      </c>
      <c r="H70" s="642"/>
      <c r="I70" s="758"/>
      <c r="J70" s="643"/>
      <c r="K70" s="709">
        <v>196.8</v>
      </c>
      <c r="L70" s="612">
        <f>'통장내역(환율표)'!$D$202</f>
        <v>7.2580999125279417</v>
      </c>
      <c r="M70" s="689">
        <f t="shared" si="8"/>
        <v>27.114534433496942</v>
      </c>
      <c r="N70" s="759">
        <f t="shared" si="7"/>
        <v>72990.920000000129</v>
      </c>
      <c r="O70" s="760">
        <f t="shared" si="4"/>
        <v>10067.009254633556</v>
      </c>
      <c r="P70" s="761" t="s">
        <v>1337</v>
      </c>
      <c r="Q70" s="881"/>
      <c r="R70" s="887"/>
      <c r="S70" s="959">
        <f t="shared" si="6"/>
        <v>10067.007058262612</v>
      </c>
    </row>
    <row r="71" spans="2:19" ht="11.25" customHeight="1">
      <c r="B71" s="639">
        <v>45496</v>
      </c>
      <c r="C71" s="671" t="s">
        <v>1016</v>
      </c>
      <c r="D71" s="671"/>
      <c r="E71" s="740">
        <v>28</v>
      </c>
      <c r="F71" s="640" t="s">
        <v>107</v>
      </c>
      <c r="G71" s="640"/>
      <c r="H71" s="642"/>
      <c r="I71" s="758"/>
      <c r="J71" s="643"/>
      <c r="K71" s="709">
        <v>888</v>
      </c>
      <c r="L71" s="612">
        <f>'통장내역(환율표)'!$D$202</f>
        <v>7.2580999125279417</v>
      </c>
      <c r="M71" s="689">
        <f t="shared" si="8"/>
        <v>122.34607000480327</v>
      </c>
      <c r="N71" s="759">
        <f t="shared" si="7"/>
        <v>72102.920000000129</v>
      </c>
      <c r="O71" s="760">
        <f t="shared" si="4"/>
        <v>9944.6631846287528</v>
      </c>
      <c r="P71" s="761" t="s">
        <v>1337</v>
      </c>
      <c r="Q71" s="881"/>
      <c r="R71" s="887"/>
      <c r="S71" s="959">
        <f t="shared" si="6"/>
        <v>9944.6609882578086</v>
      </c>
    </row>
    <row r="72" spans="2:19" ht="11.25" customHeight="1">
      <c r="B72" s="639">
        <v>45496</v>
      </c>
      <c r="C72" s="671" t="s">
        <v>1019</v>
      </c>
      <c r="D72" s="671"/>
      <c r="E72" s="740">
        <v>29</v>
      </c>
      <c r="F72" s="640" t="s">
        <v>146</v>
      </c>
      <c r="G72" s="640" t="s">
        <v>147</v>
      </c>
      <c r="H72" s="642"/>
      <c r="I72" s="758"/>
      <c r="J72" s="643"/>
      <c r="K72" s="709">
        <v>286</v>
      </c>
      <c r="L72" s="612">
        <f>'통장내역(환율표)'!$D$202</f>
        <v>7.2580999125279417</v>
      </c>
      <c r="M72" s="689">
        <f t="shared" si="8"/>
        <v>39.40425227632177</v>
      </c>
      <c r="N72" s="759">
        <f t="shared" si="7"/>
        <v>71816.920000000129</v>
      </c>
      <c r="O72" s="760">
        <f t="shared" si="4"/>
        <v>9905.2589323524317</v>
      </c>
      <c r="P72" s="761" t="s">
        <v>1337</v>
      </c>
      <c r="Q72" s="881"/>
      <c r="R72" s="887"/>
      <c r="S72" s="959">
        <f t="shared" si="6"/>
        <v>9905.2567359814875</v>
      </c>
    </row>
    <row r="73" spans="2:19" ht="11.25" customHeight="1">
      <c r="B73" s="639">
        <v>45496</v>
      </c>
      <c r="C73" s="671" t="s">
        <v>1332</v>
      </c>
      <c r="D73" s="671"/>
      <c r="E73" s="740">
        <v>30</v>
      </c>
      <c r="F73" s="640" t="s">
        <v>146</v>
      </c>
      <c r="G73" s="640" t="s">
        <v>147</v>
      </c>
      <c r="H73" s="642"/>
      <c r="I73" s="758"/>
      <c r="J73" s="643"/>
      <c r="K73" s="709">
        <v>799.05</v>
      </c>
      <c r="L73" s="612">
        <f>'통장내역(환율표)'!$D$202</f>
        <v>7.2580999125279417</v>
      </c>
      <c r="M73" s="689">
        <f t="shared" si="8"/>
        <v>110.09079643844375</v>
      </c>
      <c r="N73" s="759">
        <f t="shared" si="7"/>
        <v>71017.870000000126</v>
      </c>
      <c r="O73" s="760">
        <f t="shared" si="4"/>
        <v>9795.1681359139875</v>
      </c>
      <c r="P73" s="761" t="s">
        <v>1337</v>
      </c>
      <c r="Q73" s="881"/>
      <c r="R73" s="887"/>
      <c r="S73" s="959">
        <f t="shared" si="6"/>
        <v>9795.1659395430434</v>
      </c>
    </row>
    <row r="74" spans="2:19" ht="11.25" customHeight="1">
      <c r="B74" s="639">
        <v>45496</v>
      </c>
      <c r="C74" s="671" t="s">
        <v>250</v>
      </c>
      <c r="D74" s="671"/>
      <c r="E74" s="740">
        <v>31</v>
      </c>
      <c r="F74" s="640" t="s">
        <v>107</v>
      </c>
      <c r="G74" s="640"/>
      <c r="H74" s="937"/>
      <c r="I74" s="758"/>
      <c r="J74" s="643"/>
      <c r="K74" s="709">
        <v>3.6</v>
      </c>
      <c r="L74" s="612">
        <f>'통장내역(환율표)'!$D$202</f>
        <v>7.2580999125279417</v>
      </c>
      <c r="M74" s="689">
        <f t="shared" si="8"/>
        <v>0.49599758110055381</v>
      </c>
      <c r="N74" s="759">
        <f t="shared" si="7"/>
        <v>71014.27000000012</v>
      </c>
      <c r="O74" s="760">
        <f t="shared" si="4"/>
        <v>9794.6721383328877</v>
      </c>
      <c r="P74" s="761" t="s">
        <v>1337</v>
      </c>
      <c r="Q74" s="881"/>
      <c r="R74" s="887"/>
      <c r="S74" s="959">
        <f t="shared" si="6"/>
        <v>9794.6699419619436</v>
      </c>
    </row>
    <row r="75" spans="2:19" ht="11.25" customHeight="1">
      <c r="B75" s="639">
        <v>45496</v>
      </c>
      <c r="C75" s="671" t="s">
        <v>1165</v>
      </c>
      <c r="D75" s="671"/>
      <c r="E75" s="740">
        <v>32</v>
      </c>
      <c r="F75" s="640" t="s">
        <v>146</v>
      </c>
      <c r="G75" s="640" t="s">
        <v>147</v>
      </c>
      <c r="H75" s="642"/>
      <c r="I75" s="758"/>
      <c r="J75" s="643"/>
      <c r="K75" s="709">
        <v>4999</v>
      </c>
      <c r="L75" s="612">
        <f>'통장내역(환율표)'!$D$202</f>
        <v>7.2580999125279417</v>
      </c>
      <c r="M75" s="689">
        <f t="shared" si="8"/>
        <v>688.74775220046342</v>
      </c>
      <c r="N75" s="759">
        <f t="shared" si="7"/>
        <v>66015.27000000012</v>
      </c>
      <c r="O75" s="760">
        <f t="shared" si="4"/>
        <v>9105.9243861324248</v>
      </c>
      <c r="P75" s="761" t="s">
        <v>1337</v>
      </c>
      <c r="Q75" s="881"/>
      <c r="R75" s="887"/>
      <c r="S75" s="959">
        <f t="shared" si="6"/>
        <v>9105.9221897614807</v>
      </c>
    </row>
    <row r="76" spans="2:19" ht="11.25" customHeight="1">
      <c r="B76" s="639">
        <v>45496</v>
      </c>
      <c r="C76" s="671" t="s">
        <v>852</v>
      </c>
      <c r="D76" s="671"/>
      <c r="E76" s="740">
        <v>33</v>
      </c>
      <c r="F76" s="640" t="s">
        <v>107</v>
      </c>
      <c r="G76" s="640"/>
      <c r="H76" s="642"/>
      <c r="I76" s="758"/>
      <c r="J76" s="643"/>
      <c r="K76" s="709">
        <v>242.55</v>
      </c>
      <c r="L76" s="612">
        <f>'통장내역(환율표)'!$D$202</f>
        <v>7.2580999125279417</v>
      </c>
      <c r="M76" s="689">
        <f t="shared" si="8"/>
        <v>33.417837026649813</v>
      </c>
      <c r="N76" s="759">
        <f t="shared" si="7"/>
        <v>65772.720000000118</v>
      </c>
      <c r="O76" s="760">
        <f t="shared" si="4"/>
        <v>9072.5065491057758</v>
      </c>
      <c r="P76" s="761" t="s">
        <v>1337</v>
      </c>
      <c r="Q76" s="881"/>
      <c r="R76" s="887"/>
      <c r="S76" s="959">
        <f t="shared" si="6"/>
        <v>9072.5043527348316</v>
      </c>
    </row>
    <row r="77" spans="2:19" ht="11.25" customHeight="1">
      <c r="B77" s="639">
        <v>45496</v>
      </c>
      <c r="C77" s="671" t="s">
        <v>851</v>
      </c>
      <c r="D77" s="671"/>
      <c r="E77" s="740">
        <v>34</v>
      </c>
      <c r="F77" s="640" t="s">
        <v>116</v>
      </c>
      <c r="G77" s="640" t="s">
        <v>140</v>
      </c>
      <c r="H77" s="642"/>
      <c r="I77" s="758"/>
      <c r="J77" s="643"/>
      <c r="K77" s="709">
        <v>144.19999999999999</v>
      </c>
      <c r="L77" s="612">
        <f>'통장내역(환율표)'!$D$202</f>
        <v>7.2580999125279417</v>
      </c>
      <c r="M77" s="689">
        <f t="shared" si="8"/>
        <v>19.867458665194402</v>
      </c>
      <c r="N77" s="759">
        <f t="shared" si="7"/>
        <v>65628.52000000012</v>
      </c>
      <c r="O77" s="760">
        <f t="shared" si="4"/>
        <v>9052.6390904405816</v>
      </c>
      <c r="P77" s="761" t="s">
        <v>1337</v>
      </c>
      <c r="Q77" s="881"/>
      <c r="R77" s="887"/>
      <c r="S77" s="959">
        <f t="shared" si="6"/>
        <v>9052.6368940696375</v>
      </c>
    </row>
    <row r="78" spans="2:19" ht="11.25" customHeight="1">
      <c r="B78" s="639">
        <v>45496</v>
      </c>
      <c r="C78" s="671" t="s">
        <v>1301</v>
      </c>
      <c r="D78" s="671"/>
      <c r="E78" s="740">
        <v>35</v>
      </c>
      <c r="F78" s="640" t="s">
        <v>146</v>
      </c>
      <c r="G78" s="640" t="s">
        <v>147</v>
      </c>
      <c r="H78" s="642"/>
      <c r="I78" s="758"/>
      <c r="J78" s="643"/>
      <c r="K78" s="709">
        <v>847.9</v>
      </c>
      <c r="L78" s="612">
        <f>'통장내역(환율표)'!$D$202</f>
        <v>7.2580999125279417</v>
      </c>
      <c r="M78" s="689">
        <f t="shared" si="8"/>
        <v>116.82120805976653</v>
      </c>
      <c r="N78" s="759">
        <f t="shared" si="7"/>
        <v>64780.620000000119</v>
      </c>
      <c r="O78" s="760">
        <f t="shared" si="4"/>
        <v>8935.8178823808157</v>
      </c>
      <c r="P78" s="761" t="s">
        <v>1337</v>
      </c>
      <c r="Q78" s="881"/>
      <c r="R78" s="887"/>
      <c r="S78" s="959">
        <f t="shared" si="6"/>
        <v>8935.8156860098716</v>
      </c>
    </row>
    <row r="79" spans="2:19" ht="11.25" customHeight="1">
      <c r="B79" s="639">
        <v>45496</v>
      </c>
      <c r="C79" s="671" t="s">
        <v>250</v>
      </c>
      <c r="D79" s="671"/>
      <c r="E79" s="740">
        <v>36</v>
      </c>
      <c r="F79" s="640" t="s">
        <v>107</v>
      </c>
      <c r="G79" s="640"/>
      <c r="H79" s="642"/>
      <c r="I79" s="758"/>
      <c r="J79" s="643"/>
      <c r="K79" s="709">
        <v>3.6</v>
      </c>
      <c r="L79" s="612">
        <f>'통장내역(환율표)'!$D$202</f>
        <v>7.2580999125279417</v>
      </c>
      <c r="M79" s="689">
        <f t="shared" si="8"/>
        <v>0.49599758110055381</v>
      </c>
      <c r="N79" s="759">
        <f t="shared" si="7"/>
        <v>64777.02000000012</v>
      </c>
      <c r="O79" s="760">
        <f t="shared" si="4"/>
        <v>8935.3218847997159</v>
      </c>
      <c r="P79" s="761" t="s">
        <v>1337</v>
      </c>
      <c r="Q79" s="881"/>
      <c r="R79" s="887"/>
      <c r="S79" s="959">
        <f t="shared" si="6"/>
        <v>8935.3196884287718</v>
      </c>
    </row>
    <row r="80" spans="2:19" ht="11.25" customHeight="1">
      <c r="B80" s="639">
        <v>45496</v>
      </c>
      <c r="C80" s="671" t="s">
        <v>1265</v>
      </c>
      <c r="D80" s="671"/>
      <c r="E80" s="740">
        <v>37</v>
      </c>
      <c r="F80" s="640" t="s">
        <v>107</v>
      </c>
      <c r="G80" s="640"/>
      <c r="H80" s="642"/>
      <c r="I80" s="758"/>
      <c r="J80" s="643"/>
      <c r="K80" s="709">
        <v>644.22</v>
      </c>
      <c r="L80" s="612">
        <f>'통장내역(환율표)'!$D$202</f>
        <v>7.2580999125279417</v>
      </c>
      <c r="M80" s="689">
        <f t="shared" si="8"/>
        <v>88.758767137944105</v>
      </c>
      <c r="N80" s="759">
        <f t="shared" si="7"/>
        <v>64132.800000000119</v>
      </c>
      <c r="O80" s="760">
        <f t="shared" si="4"/>
        <v>8846.5631176617717</v>
      </c>
      <c r="P80" s="761" t="s">
        <v>1337</v>
      </c>
      <c r="Q80" s="881"/>
      <c r="R80" s="887"/>
      <c r="S80" s="959">
        <f t="shared" si="6"/>
        <v>8846.5609212908275</v>
      </c>
    </row>
    <row r="81" spans="2:19" ht="11.25" customHeight="1">
      <c r="B81" s="639">
        <v>45496</v>
      </c>
      <c r="C81" s="671" t="s">
        <v>1336</v>
      </c>
      <c r="D81" s="671"/>
      <c r="E81" s="740">
        <v>38</v>
      </c>
      <c r="F81" s="640" t="s">
        <v>116</v>
      </c>
      <c r="G81" s="640" t="s">
        <v>140</v>
      </c>
      <c r="H81" s="642"/>
      <c r="I81" s="758"/>
      <c r="J81" s="643"/>
      <c r="K81" s="709">
        <v>418</v>
      </c>
      <c r="L81" s="612">
        <f>'통장내역(환율표)'!$D$202</f>
        <v>7.2580999125279417</v>
      </c>
      <c r="M81" s="689">
        <f t="shared" si="8"/>
        <v>57.590830250008743</v>
      </c>
      <c r="N81" s="759">
        <f t="shared" si="7"/>
        <v>63714.800000000119</v>
      </c>
      <c r="O81" s="760">
        <f t="shared" si="4"/>
        <v>8788.9722874117633</v>
      </c>
      <c r="P81" s="761" t="s">
        <v>1337</v>
      </c>
      <c r="Q81" s="881"/>
      <c r="R81" s="887"/>
      <c r="S81" s="959">
        <f t="shared" si="6"/>
        <v>8788.9700910408192</v>
      </c>
    </row>
    <row r="82" spans="2:19" ht="11.25" customHeight="1">
      <c r="B82" s="639">
        <v>45496</v>
      </c>
      <c r="C82" s="671" t="s">
        <v>854</v>
      </c>
      <c r="D82" s="671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499</v>
      </c>
      <c r="L82" s="612">
        <f>'통장내역(환율표)'!$D$202</f>
        <v>7.2580999125279417</v>
      </c>
      <c r="M82" s="689">
        <f t="shared" si="8"/>
        <v>68.750775824771196</v>
      </c>
      <c r="N82" s="759">
        <f t="shared" si="7"/>
        <v>63215.800000000119</v>
      </c>
      <c r="O82" s="760">
        <f t="shared" si="4"/>
        <v>8720.2215115869913</v>
      </c>
      <c r="P82" s="761" t="s">
        <v>1337</v>
      </c>
      <c r="Q82" s="881"/>
      <c r="R82" s="887"/>
      <c r="S82" s="959">
        <f t="shared" si="6"/>
        <v>8720.2193152160471</v>
      </c>
    </row>
    <row r="83" spans="2:19" ht="11.25" customHeight="1">
      <c r="B83" s="639">
        <v>45496</v>
      </c>
      <c r="C83" s="671" t="s">
        <v>845</v>
      </c>
      <c r="D83" s="671"/>
      <c r="E83" s="740">
        <v>40</v>
      </c>
      <c r="F83" s="640" t="s">
        <v>125</v>
      </c>
      <c r="G83" s="640" t="s">
        <v>145</v>
      </c>
      <c r="H83" s="642"/>
      <c r="I83" s="758"/>
      <c r="J83" s="643"/>
      <c r="K83" s="709">
        <v>1846</v>
      </c>
      <c r="L83" s="612">
        <f>'통장내역(환율표)'!$D$202</f>
        <v>7.2580999125279417</v>
      </c>
      <c r="M83" s="689">
        <f t="shared" si="8"/>
        <v>254.33653741989508</v>
      </c>
      <c r="N83" s="759">
        <f t="shared" ref="N83:N93" si="9">N82+H83-K83</f>
        <v>61369.800000000119</v>
      </c>
      <c r="O83" s="760">
        <f t="shared" ref="O83:O93" si="10">O82+J83-M83</f>
        <v>8465.8849741670965</v>
      </c>
      <c r="P83" s="761" t="s">
        <v>1337</v>
      </c>
      <c r="Q83" s="881"/>
      <c r="R83" s="887"/>
      <c r="S83" s="959">
        <f t="shared" si="6"/>
        <v>8465.8827777961524</v>
      </c>
    </row>
    <row r="84" spans="2:19" ht="11.25" customHeight="1">
      <c r="B84" s="639">
        <v>45496</v>
      </c>
      <c r="C84" s="671" t="s">
        <v>250</v>
      </c>
      <c r="D84" s="671"/>
      <c r="E84" s="740">
        <v>41</v>
      </c>
      <c r="F84" s="640" t="s">
        <v>107</v>
      </c>
      <c r="G84" s="640"/>
      <c r="H84" s="642"/>
      <c r="I84" s="758"/>
      <c r="J84" s="643"/>
      <c r="K84" s="709">
        <v>3.6</v>
      </c>
      <c r="L84" s="612">
        <f>'통장내역(환율표)'!$D$202</f>
        <v>7.2580999125279417</v>
      </c>
      <c r="M84" s="689">
        <f t="shared" si="8"/>
        <v>0.49599758110055381</v>
      </c>
      <c r="N84" s="759">
        <f t="shared" si="9"/>
        <v>61366.200000000121</v>
      </c>
      <c r="O84" s="760">
        <f t="shared" si="10"/>
        <v>8465.3889765859967</v>
      </c>
      <c r="P84" s="761" t="s">
        <v>1337</v>
      </c>
      <c r="Q84" s="881"/>
      <c r="R84" s="887"/>
      <c r="S84" s="959">
        <f t="shared" si="6"/>
        <v>8465.3867802150526</v>
      </c>
    </row>
    <row r="85" spans="2:19" ht="11.25" customHeight="1">
      <c r="B85" s="639">
        <v>45496</v>
      </c>
      <c r="C85" s="671" t="s">
        <v>1333</v>
      </c>
      <c r="D85" s="671"/>
      <c r="E85" s="740">
        <v>42</v>
      </c>
      <c r="F85" s="640" t="s">
        <v>146</v>
      </c>
      <c r="G85" s="640" t="s">
        <v>147</v>
      </c>
      <c r="H85" s="642"/>
      <c r="I85" s="758"/>
      <c r="J85" s="643"/>
      <c r="K85" s="709">
        <v>167.54</v>
      </c>
      <c r="L85" s="612">
        <f>'통장내역(환율표)'!$D$202</f>
        <v>7.2580999125279417</v>
      </c>
      <c r="M85" s="689">
        <f t="shared" si="8"/>
        <v>23.083176315996326</v>
      </c>
      <c r="N85" s="759">
        <f t="shared" si="9"/>
        <v>61198.66000000012</v>
      </c>
      <c r="O85" s="760">
        <f t="shared" si="10"/>
        <v>8442.30580027</v>
      </c>
      <c r="P85" s="761" t="s">
        <v>1337</v>
      </c>
      <c r="Q85" s="881"/>
      <c r="R85" s="887"/>
      <c r="S85" s="959">
        <f t="shared" si="6"/>
        <v>8442.3036038990558</v>
      </c>
    </row>
    <row r="86" spans="2:19" ht="11.25" customHeight="1">
      <c r="B86" s="639">
        <v>45496</v>
      </c>
      <c r="C86" s="671" t="s">
        <v>1308</v>
      </c>
      <c r="D86" s="671"/>
      <c r="E86" s="740">
        <v>43</v>
      </c>
      <c r="F86" s="640" t="s">
        <v>125</v>
      </c>
      <c r="G86" s="640" t="s">
        <v>145</v>
      </c>
      <c r="H86" s="642"/>
      <c r="I86" s="758"/>
      <c r="J86" s="643"/>
      <c r="K86" s="709">
        <v>3164.5</v>
      </c>
      <c r="L86" s="612">
        <f>'통장내역(환율표)'!$D$202</f>
        <v>7.2580999125279417</v>
      </c>
      <c r="M86" s="689">
        <f t="shared" si="8"/>
        <v>435.99565149797291</v>
      </c>
      <c r="N86" s="759">
        <f t="shared" si="9"/>
        <v>58034.16000000012</v>
      </c>
      <c r="O86" s="760">
        <f t="shared" si="10"/>
        <v>8006.3101487720269</v>
      </c>
      <c r="P86" s="761" t="s">
        <v>1337</v>
      </c>
      <c r="Q86" s="881"/>
      <c r="R86" s="887"/>
      <c r="S86" s="959">
        <f t="shared" si="6"/>
        <v>8006.3079524010827</v>
      </c>
    </row>
    <row r="87" spans="2:19" ht="11.25" customHeight="1">
      <c r="B87" s="639">
        <v>45496</v>
      </c>
      <c r="C87" s="671" t="s">
        <v>1261</v>
      </c>
      <c r="D87" s="671"/>
      <c r="E87" s="740">
        <v>44</v>
      </c>
      <c r="F87" s="640" t="s">
        <v>116</v>
      </c>
      <c r="G87" s="640" t="s">
        <v>140</v>
      </c>
      <c r="H87" s="642"/>
      <c r="I87" s="758"/>
      <c r="J87" s="643"/>
      <c r="K87" s="709">
        <v>299</v>
      </c>
      <c r="L87" s="612">
        <f>'통장내역(환율표)'!$D$202</f>
        <v>7.2580999125279417</v>
      </c>
      <c r="M87" s="689">
        <f t="shared" si="8"/>
        <v>41.195354652518219</v>
      </c>
      <c r="N87" s="759">
        <f t="shared" si="9"/>
        <v>57735.16000000012</v>
      </c>
      <c r="O87" s="760">
        <f t="shared" si="10"/>
        <v>7965.1147941195086</v>
      </c>
      <c r="P87" s="761" t="s">
        <v>1337</v>
      </c>
      <c r="Q87" s="881"/>
      <c r="R87" s="887"/>
      <c r="S87" s="959">
        <f t="shared" si="6"/>
        <v>7965.1125977485644</v>
      </c>
    </row>
    <row r="88" spans="2:19" ht="11.25" customHeight="1">
      <c r="B88" s="639">
        <v>45496</v>
      </c>
      <c r="C88" s="671" t="s">
        <v>250</v>
      </c>
      <c r="D88" s="671"/>
      <c r="E88" s="740">
        <v>45</v>
      </c>
      <c r="F88" s="640" t="s">
        <v>107</v>
      </c>
      <c r="G88" s="640"/>
      <c r="H88" s="642"/>
      <c r="I88" s="758"/>
      <c r="J88" s="643"/>
      <c r="K88" s="709">
        <v>3.6</v>
      </c>
      <c r="L88" s="612">
        <f>'통장내역(환율표)'!$D$202</f>
        <v>7.2580999125279417</v>
      </c>
      <c r="M88" s="689">
        <f t="shared" si="8"/>
        <v>0.49599758110055381</v>
      </c>
      <c r="N88" s="759">
        <f t="shared" si="9"/>
        <v>57731.560000000121</v>
      </c>
      <c r="O88" s="760">
        <f t="shared" si="10"/>
        <v>7964.6187965384079</v>
      </c>
      <c r="P88" s="761" t="s">
        <v>1337</v>
      </c>
      <c r="Q88" s="881"/>
      <c r="R88" s="887"/>
      <c r="S88" s="959">
        <f t="shared" si="6"/>
        <v>7964.6166001674637</v>
      </c>
    </row>
    <row r="89" spans="2:19" ht="11.25" customHeight="1">
      <c r="B89" s="639">
        <v>45496</v>
      </c>
      <c r="C89" s="671" t="s">
        <v>1334</v>
      </c>
      <c r="D89" s="671"/>
      <c r="E89" s="740">
        <v>46</v>
      </c>
      <c r="F89" s="640" t="s">
        <v>146</v>
      </c>
      <c r="G89" s="640" t="s">
        <v>147</v>
      </c>
      <c r="H89" s="642"/>
      <c r="I89" s="758"/>
      <c r="J89" s="643"/>
      <c r="K89" s="709">
        <v>17193.54</v>
      </c>
      <c r="L89" s="612">
        <f>'통장내역(환율표)'!$D$202</f>
        <v>7.2580999125279417</v>
      </c>
      <c r="M89" s="689">
        <f t="shared" si="8"/>
        <v>2368.8761807098931</v>
      </c>
      <c r="N89" s="759">
        <f t="shared" si="9"/>
        <v>40538.02000000012</v>
      </c>
      <c r="O89" s="760">
        <f t="shared" si="10"/>
        <v>5595.7426158285143</v>
      </c>
      <c r="P89" s="761" t="s">
        <v>1337</v>
      </c>
      <c r="Q89" s="881"/>
      <c r="R89" s="887"/>
      <c r="S89" s="959">
        <f t="shared" si="6"/>
        <v>5595.7404194575702</v>
      </c>
    </row>
    <row r="90" spans="2:19" ht="11.25" customHeight="1">
      <c r="B90" s="639">
        <v>45496</v>
      </c>
      <c r="C90" s="671" t="s">
        <v>1335</v>
      </c>
      <c r="D90" s="671"/>
      <c r="E90" s="740">
        <v>47</v>
      </c>
      <c r="F90" s="640" t="s">
        <v>146</v>
      </c>
      <c r="G90" s="640" t="s">
        <v>147</v>
      </c>
      <c r="H90" s="642"/>
      <c r="I90" s="758"/>
      <c r="J90" s="643"/>
      <c r="K90" s="709">
        <v>144.71</v>
      </c>
      <c r="L90" s="612">
        <f>'통장내역(환율표)'!$D$202</f>
        <v>7.2580999125279417</v>
      </c>
      <c r="M90" s="689">
        <f>K90/L90+0.004</f>
        <v>19.941724989183651</v>
      </c>
      <c r="N90" s="759">
        <f t="shared" si="9"/>
        <v>40393.310000000121</v>
      </c>
      <c r="O90" s="760">
        <f t="shared" si="10"/>
        <v>5575.8008908393303</v>
      </c>
      <c r="P90" s="761" t="s">
        <v>1337</v>
      </c>
      <c r="Q90" s="881"/>
      <c r="R90" s="887"/>
      <c r="S90" s="959">
        <f t="shared" si="6"/>
        <v>5575.7986944683862</v>
      </c>
    </row>
    <row r="91" spans="2:19" ht="11.25" customHeight="1">
      <c r="B91" s="639">
        <v>45496</v>
      </c>
      <c r="C91" s="671" t="s">
        <v>1302</v>
      </c>
      <c r="D91" s="671"/>
      <c r="E91" s="740">
        <v>48</v>
      </c>
      <c r="F91" s="640" t="s">
        <v>116</v>
      </c>
      <c r="G91" s="640" t="s">
        <v>140</v>
      </c>
      <c r="H91" s="642"/>
      <c r="I91" s="758"/>
      <c r="J91" s="643"/>
      <c r="K91" s="709">
        <v>500</v>
      </c>
      <c r="L91" s="612">
        <f>'통장내역(환율표)'!$D$202</f>
        <v>7.2580999125279417</v>
      </c>
      <c r="M91" s="689">
        <f>K91/L91</f>
        <v>68.888552930632471</v>
      </c>
      <c r="N91" s="759">
        <f t="shared" si="9"/>
        <v>39893.310000000121</v>
      </c>
      <c r="O91" s="760">
        <f t="shared" si="10"/>
        <v>5506.9123379086977</v>
      </c>
      <c r="P91" s="761" t="s">
        <v>1337</v>
      </c>
      <c r="Q91" s="881"/>
      <c r="R91" s="887"/>
      <c r="S91" s="959">
        <f t="shared" si="6"/>
        <v>5506.9101415377536</v>
      </c>
    </row>
    <row r="92" spans="2:19" ht="11.25" customHeight="1">
      <c r="B92" s="639">
        <v>45496</v>
      </c>
      <c r="C92" s="671" t="s">
        <v>1174</v>
      </c>
      <c r="D92" s="671"/>
      <c r="E92" s="740">
        <v>49</v>
      </c>
      <c r="F92" s="640" t="s">
        <v>125</v>
      </c>
      <c r="G92" s="640" t="s">
        <v>145</v>
      </c>
      <c r="H92" s="642"/>
      <c r="I92" s="758"/>
      <c r="J92" s="643"/>
      <c r="K92" s="709">
        <v>16826.91</v>
      </c>
      <c r="L92" s="612">
        <f>'통장내역(환율표)'!$D$202</f>
        <v>7.2580999125279417</v>
      </c>
      <c r="M92" s="689">
        <f>K92/L92+0.004</f>
        <v>2318.3669603879775</v>
      </c>
      <c r="N92" s="759">
        <f t="shared" si="9"/>
        <v>23066.400000000122</v>
      </c>
      <c r="O92" s="760">
        <f t="shared" si="10"/>
        <v>3188.5453775207202</v>
      </c>
      <c r="P92" s="761" t="s">
        <v>1337</v>
      </c>
      <c r="Q92" s="881"/>
      <c r="R92" s="887"/>
      <c r="S92" s="959">
        <f t="shared" si="6"/>
        <v>3188.543181149776</v>
      </c>
    </row>
    <row r="93" spans="2:19" ht="11.25" customHeight="1" thickBot="1">
      <c r="B93" s="639">
        <v>45496</v>
      </c>
      <c r="C93" s="671" t="s">
        <v>250</v>
      </c>
      <c r="D93" s="671"/>
      <c r="E93" s="740">
        <v>50</v>
      </c>
      <c r="F93" s="640" t="s">
        <v>107</v>
      </c>
      <c r="G93" s="640"/>
      <c r="H93" s="642"/>
      <c r="I93" s="758"/>
      <c r="J93" s="643"/>
      <c r="K93" s="709">
        <v>7.2</v>
      </c>
      <c r="L93" s="612">
        <f>'통장내역(환율표)'!$D$202</f>
        <v>7.2580999125279417</v>
      </c>
      <c r="M93" s="689">
        <f>K93/L93</f>
        <v>0.99199516220110762</v>
      </c>
      <c r="N93" s="975">
        <f t="shared" si="9"/>
        <v>23059.200000000121</v>
      </c>
      <c r="O93" s="967">
        <f t="shared" si="10"/>
        <v>3187.5533823585192</v>
      </c>
      <c r="P93" s="761" t="s">
        <v>1337</v>
      </c>
      <c r="Q93" s="881"/>
      <c r="R93" s="887"/>
      <c r="S93" s="968">
        <f t="shared" si="6"/>
        <v>3187.5511859875751</v>
      </c>
    </row>
    <row r="94" spans="2:19" ht="11.25" customHeight="1">
      <c r="C94" s="973"/>
      <c r="D94" s="589"/>
      <c r="E94" s="589"/>
      <c r="F94" s="589"/>
      <c r="G94" s="589"/>
      <c r="H94" s="589"/>
      <c r="K94" s="531"/>
    </row>
    <row r="95" spans="2:19" ht="11.25" customHeight="1">
      <c r="C95" s="973"/>
      <c r="D95" s="589"/>
      <c r="E95" s="589"/>
      <c r="F95" s="589"/>
      <c r="G95" s="589"/>
      <c r="H95" s="589"/>
      <c r="K95" s="531"/>
    </row>
    <row r="96" spans="2:19" ht="11.25" customHeight="1">
      <c r="C96" s="973"/>
      <c r="D96" s="589"/>
      <c r="E96" s="589"/>
      <c r="F96" s="589"/>
      <c r="G96" s="971"/>
      <c r="H96" s="559"/>
      <c r="I96" s="559"/>
    </row>
    <row r="97" spans="3:9" ht="11.25" customHeight="1">
      <c r="C97" s="589"/>
      <c r="D97" s="589"/>
      <c r="E97" s="589"/>
      <c r="F97" s="589"/>
      <c r="G97" s="971"/>
      <c r="H97" s="559"/>
      <c r="I97" s="559"/>
    </row>
    <row r="98" spans="3:9" ht="11.25" customHeight="1">
      <c r="C98" s="589"/>
      <c r="D98" s="589"/>
      <c r="E98" s="589"/>
      <c r="F98" s="589"/>
      <c r="G98" s="971"/>
      <c r="H98" s="559"/>
      <c r="I98" s="559"/>
    </row>
    <row r="99" spans="3:9" ht="11.25" customHeight="1">
      <c r="C99" s="589"/>
      <c r="D99" s="589"/>
      <c r="E99" s="589"/>
      <c r="F99" s="589"/>
      <c r="G99" s="971"/>
      <c r="H99" s="559"/>
      <c r="I99" s="559"/>
    </row>
    <row r="100" spans="3:9" ht="11.25" customHeight="1">
      <c r="C100" s="589"/>
      <c r="D100" s="589"/>
      <c r="E100" s="589"/>
      <c r="F100" s="589"/>
      <c r="G100" s="971"/>
      <c r="H100" s="559"/>
      <c r="I100" s="559"/>
    </row>
    <row r="101" spans="3:9" ht="11.25" customHeight="1">
      <c r="C101" s="589"/>
      <c r="D101" s="589"/>
      <c r="E101" s="589"/>
      <c r="F101" s="589"/>
      <c r="H101" s="559"/>
      <c r="I101" s="559"/>
    </row>
    <row r="102" spans="3:9" ht="11.25" customHeight="1">
      <c r="C102" s="589"/>
      <c r="D102" s="589"/>
      <c r="E102" s="589"/>
      <c r="F102" s="589"/>
      <c r="H102" s="559"/>
      <c r="I102" s="559"/>
    </row>
    <row r="103" spans="3:9" ht="11.25" customHeight="1">
      <c r="C103" s="589"/>
      <c r="D103" s="589"/>
      <c r="E103" s="589"/>
      <c r="F103" s="589"/>
      <c r="H103" s="559"/>
      <c r="I103" s="559"/>
    </row>
    <row r="104" spans="3:9" ht="11.25" customHeight="1">
      <c r="C104" s="589"/>
      <c r="D104" s="589"/>
      <c r="E104" s="589"/>
      <c r="F104" s="589"/>
      <c r="H104" s="559"/>
      <c r="I104" s="559"/>
    </row>
    <row r="105" spans="3:9" ht="11.25" customHeight="1">
      <c r="C105" s="589"/>
      <c r="D105" s="589"/>
      <c r="E105" s="589"/>
      <c r="F105" s="589"/>
      <c r="H105" s="559"/>
      <c r="I105" s="559"/>
    </row>
    <row r="106" spans="3:9" ht="11.25" customHeight="1">
      <c r="C106" s="589"/>
      <c r="D106" s="589"/>
      <c r="E106" s="589"/>
      <c r="F106" s="589"/>
      <c r="G106" s="589"/>
      <c r="H106" s="589"/>
    </row>
    <row r="107" spans="3:9" ht="11.25" customHeight="1">
      <c r="C107" s="589"/>
      <c r="D107" s="589"/>
      <c r="E107" s="589"/>
      <c r="F107" s="589"/>
      <c r="G107" s="589"/>
      <c r="H107" s="589"/>
    </row>
  </sheetData>
  <autoFilter ref="B17:R93" xr:uid="{00000000-0009-0000-0000-000001000000}">
    <filterColumn colId="14" showButton="0"/>
    <sortState xmlns:xlrd2="http://schemas.microsoft.com/office/spreadsheetml/2017/richdata2" ref="B20:R53">
      <sortCondition sortBy="cellColor" ref="M17:M93" dxfId="12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7186-6860-4D4A-9A78-E56FE7C552FF}">
  <sheetPr>
    <tabColor theme="7" tint="-0.249977111117893"/>
  </sheetPr>
  <dimension ref="A1:AC106"/>
  <sheetViews>
    <sheetView showGridLines="0" zoomScaleNormal="100" workbookViewId="0">
      <pane ySplit="19" topLeftCell="A20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1321</v>
      </c>
      <c r="C3" s="547"/>
      <c r="D3" s="547"/>
      <c r="E3" s="547"/>
      <c r="F3" s="790">
        <v>1383.4</v>
      </c>
      <c r="G3" s="550"/>
      <c r="H3" s="546" t="s">
        <v>1342</v>
      </c>
      <c r="I3" s="547"/>
      <c r="K3" s="548"/>
      <c r="L3" s="790">
        <v>1369.4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19576.400000000001</v>
      </c>
      <c r="K5" s="766">
        <v>2735.09</v>
      </c>
      <c r="L5" s="723">
        <f>ROUND(K5*$L$3,0)</f>
        <v>3745432</v>
      </c>
      <c r="M5" s="931">
        <f>L5+F5</f>
        <v>3745432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43216.350000000006</v>
      </c>
      <c r="K6" s="766">
        <v>6037.91</v>
      </c>
      <c r="L6" s="723">
        <f t="shared" ref="L6:L11" si="1">ROUND(K6*$L$3,0)</f>
        <v>8268314</v>
      </c>
      <c r="M6" s="931">
        <f t="shared" ref="M6:M13" si="2">L6+F6</f>
        <v>8268314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23135.56</v>
      </c>
      <c r="E7" s="570">
        <v>3187.55</v>
      </c>
      <c r="F7" s="567">
        <f t="shared" si="0"/>
        <v>4409657</v>
      </c>
      <c r="G7" s="573"/>
      <c r="H7" s="569" t="s">
        <v>15</v>
      </c>
      <c r="I7" s="569" t="s">
        <v>1064</v>
      </c>
      <c r="J7" s="767">
        <v>1354.44</v>
      </c>
      <c r="K7" s="767">
        <v>189.23</v>
      </c>
      <c r="L7" s="723">
        <f t="shared" si="1"/>
        <v>259132</v>
      </c>
      <c r="M7" s="931">
        <f t="shared" si="2"/>
        <v>4668789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2444.9899999999998</v>
      </c>
      <c r="L8" s="723">
        <f t="shared" si="1"/>
        <v>3348169</v>
      </c>
      <c r="M8" s="931">
        <f t="shared" si="2"/>
        <v>3348169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1323.67</v>
      </c>
      <c r="K9" s="766">
        <v>184.93</v>
      </c>
      <c r="L9" s="723">
        <f t="shared" si="1"/>
        <v>253243</v>
      </c>
      <c r="M9" s="931">
        <f t="shared" si="2"/>
        <v>253243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/>
      <c r="E10" s="570"/>
      <c r="F10" s="567">
        <f t="shared" si="0"/>
        <v>0</v>
      </c>
      <c r="G10" s="575"/>
      <c r="H10" s="569" t="s">
        <v>21</v>
      </c>
      <c r="I10" s="569"/>
      <c r="J10" s="766">
        <v>289473.83000000007</v>
      </c>
      <c r="K10" s="766">
        <v>40494.43</v>
      </c>
      <c r="L10" s="723">
        <f t="shared" si="1"/>
        <v>55453072</v>
      </c>
      <c r="M10" s="931">
        <f t="shared" si="2"/>
        <v>55453072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1383.4001035277877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3187.55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23135.56</v>
      </c>
      <c r="E13" s="585">
        <f>SUM(E5:E11)-E12</f>
        <v>3187.55</v>
      </c>
      <c r="F13" s="950">
        <f>SUM(F5:F11)-F12</f>
        <v>4409657</v>
      </c>
      <c r="G13" s="588">
        <f>F13+R13+AC13</f>
        <v>4409657</v>
      </c>
      <c r="H13" s="948" t="s">
        <v>22</v>
      </c>
      <c r="I13" s="949"/>
      <c r="J13" s="585">
        <f>SUM(J5:J11)-J12</f>
        <v>372444.69000000006</v>
      </c>
      <c r="K13" s="585">
        <f>SUM(K5:K11)-K12</f>
        <v>52086.58</v>
      </c>
      <c r="L13" s="950">
        <f>SUM(L5:L11)-L12</f>
        <v>71327362</v>
      </c>
      <c r="M13" s="970">
        <f t="shared" si="2"/>
        <v>75737019</v>
      </c>
      <c r="N13" s="952"/>
      <c r="O13" s="953"/>
      <c r="P13" s="853"/>
      <c r="Q13" s="853"/>
      <c r="R13" s="853"/>
      <c r="S13" s="954"/>
      <c r="U13" s="930"/>
      <c r="X13" s="955">
        <f>F13+R13</f>
        <v>4409657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23135.56</v>
      </c>
      <c r="E14" s="816">
        <f>SUM(E7:E10)</f>
        <v>3187.55</v>
      </c>
      <c r="F14" s="816">
        <f>SUM(F7:F10)</f>
        <v>4409657</v>
      </c>
      <c r="G14" s="594"/>
      <c r="J14" s="985">
        <f>J13+D13</f>
        <v>395580.25000000006</v>
      </c>
      <c r="K14" s="985">
        <f>K13+E13</f>
        <v>55274.130000000005</v>
      </c>
      <c r="L14" s="985">
        <f>L13+F13</f>
        <v>75737019</v>
      </c>
      <c r="M14" s="945">
        <f>M16-E12</f>
        <v>55274.134159807429</v>
      </c>
      <c r="O14" s="595"/>
      <c r="P14" s="924">
        <f>P13+D13+J13</f>
        <v>395580.25000000006</v>
      </c>
      <c r="Q14" s="924">
        <f>Q13+E13+K13</f>
        <v>55274.130000000005</v>
      </c>
      <c r="R14" s="925">
        <f>R13+F13+L13</f>
        <v>75737019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945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SUBTOTAL(9,K19:K120)</f>
        <v>395580.25</v>
      </c>
      <c r="L16" s="137"/>
      <c r="M16" s="724">
        <f>SUBTOTAL(9,M19:M120)</f>
        <v>55274.134159807429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556" t="s">
        <v>1071</v>
      </c>
    </row>
    <row r="19" spans="1:29" ht="11.25" customHeight="1">
      <c r="B19" s="729">
        <v>45504</v>
      </c>
      <c r="C19" s="730"/>
      <c r="D19" s="730"/>
      <c r="E19" s="732"/>
      <c r="F19" s="943"/>
      <c r="G19" s="733"/>
      <c r="H19" s="734"/>
      <c r="I19" s="730"/>
      <c r="J19" s="733"/>
      <c r="K19" s="754"/>
      <c r="L19" s="735"/>
      <c r="M19" s="751"/>
      <c r="N19" s="983">
        <v>23059.200000000121</v>
      </c>
      <c r="O19" s="984">
        <v>3187.5533823585192</v>
      </c>
      <c r="P19" s="753"/>
      <c r="Q19" s="876"/>
      <c r="R19" s="883"/>
      <c r="S19" s="926">
        <v>3187.55</v>
      </c>
    </row>
    <row r="20" spans="1:29" s="645" customFormat="1" ht="11.25" customHeight="1">
      <c r="A20" s="614"/>
      <c r="B20" s="775">
        <v>45517</v>
      </c>
      <c r="C20" s="972" t="s">
        <v>1097</v>
      </c>
      <c r="D20" s="972"/>
      <c r="E20" s="777"/>
      <c r="F20" s="778"/>
      <c r="G20" s="778"/>
      <c r="H20" s="979">
        <v>409380.37</v>
      </c>
      <c r="I20" s="978"/>
      <c r="J20" s="979">
        <v>57247</v>
      </c>
      <c r="K20" s="899"/>
      <c r="L20" s="781"/>
      <c r="M20" s="964"/>
      <c r="N20" s="782">
        <f t="shared" ref="N20:N51" si="3">N19+H20-K20</f>
        <v>432439.57000000012</v>
      </c>
      <c r="O20" s="783">
        <f t="shared" ref="O20:O51" si="4">O19+J20-M20</f>
        <v>60434.553382358521</v>
      </c>
      <c r="P20" s="784"/>
      <c r="Q20" s="903"/>
      <c r="R20" s="958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45517</v>
      </c>
      <c r="C21" s="972" t="s">
        <v>445</v>
      </c>
      <c r="D21" s="972"/>
      <c r="E21" s="777">
        <v>1</v>
      </c>
      <c r="F21" s="778" t="s">
        <v>107</v>
      </c>
      <c r="G21" s="778"/>
      <c r="H21" s="787"/>
      <c r="I21" s="779"/>
      <c r="J21" s="779"/>
      <c r="K21" s="899"/>
      <c r="L21" s="781"/>
      <c r="M21" s="965">
        <v>51</v>
      </c>
      <c r="N21" s="782">
        <f t="shared" si="3"/>
        <v>432439.57000000012</v>
      </c>
      <c r="O21" s="783">
        <f t="shared" si="4"/>
        <v>60383.553382358521</v>
      </c>
      <c r="P21" s="784" t="s">
        <v>1353</v>
      </c>
      <c r="Q21" s="903"/>
      <c r="R21" s="958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45518</v>
      </c>
      <c r="C22" s="976" t="s">
        <v>1343</v>
      </c>
      <c r="D22" s="671"/>
      <c r="E22" s="740">
        <v>2</v>
      </c>
      <c r="F22" s="640" t="s">
        <v>105</v>
      </c>
      <c r="G22" s="640" t="s">
        <v>1131</v>
      </c>
      <c r="H22" s="640"/>
      <c r="I22" s="640"/>
      <c r="J22" s="640"/>
      <c r="K22" s="709">
        <f>L22*M22</f>
        <v>23135.556376178443</v>
      </c>
      <c r="L22" s="612">
        <f>'통장내역(환율표)'!$D$202</f>
        <v>7.2580999125279417</v>
      </c>
      <c r="M22" s="843">
        <v>3187.55</v>
      </c>
      <c r="N22" s="759">
        <f t="shared" si="3"/>
        <v>409304.01362382167</v>
      </c>
      <c r="O22" s="760">
        <f t="shared" si="4"/>
        <v>57196.003382358518</v>
      </c>
      <c r="P22" s="761" t="s">
        <v>1337</v>
      </c>
      <c r="Q22" s="879"/>
      <c r="R22" s="886"/>
      <c r="S22" s="963">
        <f>S19-M22+J22</f>
        <v>0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45518</v>
      </c>
      <c r="C23" s="976" t="s">
        <v>1343</v>
      </c>
      <c r="D23" s="671"/>
      <c r="E23" s="740">
        <v>2</v>
      </c>
      <c r="F23" s="640" t="s">
        <v>105</v>
      </c>
      <c r="G23" s="640" t="s">
        <v>1131</v>
      </c>
      <c r="H23" s="640"/>
      <c r="I23" s="640"/>
      <c r="J23" s="640"/>
      <c r="K23" s="709">
        <f>24490-K22</f>
        <v>1354.4436238215567</v>
      </c>
      <c r="L23" s="612">
        <f>'통장내역(환율표)'!$D$208</f>
        <v>7.1574999999999998</v>
      </c>
      <c r="M23" s="689">
        <f t="shared" ref="M23:M54" si="5">K23/L23</f>
        <v>189.23417727161114</v>
      </c>
      <c r="N23" s="759">
        <f t="shared" si="3"/>
        <v>407949.57000000012</v>
      </c>
      <c r="O23" s="760">
        <f t="shared" si="4"/>
        <v>57006.769205086908</v>
      </c>
      <c r="P23" s="761" t="s">
        <v>1353</v>
      </c>
      <c r="Q23" s="879"/>
      <c r="R23" s="886"/>
      <c r="S23" s="717">
        <f>57196-M23</f>
        <v>57006.76582272839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45518</v>
      </c>
      <c r="C24" s="976" t="s">
        <v>445</v>
      </c>
      <c r="D24" s="671"/>
      <c r="E24" s="740">
        <v>3</v>
      </c>
      <c r="F24" s="640" t="s">
        <v>107</v>
      </c>
      <c r="G24" s="640"/>
      <c r="H24" s="640"/>
      <c r="I24" s="640"/>
      <c r="J24" s="640"/>
      <c r="K24" s="709">
        <v>7.2</v>
      </c>
      <c r="L24" s="612">
        <f>'통장내역(환율표)'!$D$208</f>
        <v>7.1574999999999998</v>
      </c>
      <c r="M24" s="689">
        <f t="shared" si="5"/>
        <v>1.0059378274537198</v>
      </c>
      <c r="N24" s="759">
        <f t="shared" si="3"/>
        <v>407942.37000000011</v>
      </c>
      <c r="O24" s="760">
        <f t="shared" si="4"/>
        <v>57005.763267259455</v>
      </c>
      <c r="P24" s="761" t="s">
        <v>1352</v>
      </c>
      <c r="Q24" s="879"/>
      <c r="R24" s="886"/>
      <c r="S24" s="963">
        <f>S23-M24+J24</f>
        <v>57005.759884900937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45518</v>
      </c>
      <c r="C25" s="976" t="s">
        <v>1291</v>
      </c>
      <c r="D25" s="671"/>
      <c r="E25" s="740">
        <v>4</v>
      </c>
      <c r="F25" s="640" t="s">
        <v>146</v>
      </c>
      <c r="G25" s="640" t="s">
        <v>147</v>
      </c>
      <c r="H25" s="640"/>
      <c r="I25" s="640"/>
      <c r="J25" s="640"/>
      <c r="K25" s="709">
        <v>1600</v>
      </c>
      <c r="L25" s="612">
        <f>'통장내역(환율표)'!$D$208</f>
        <v>7.1574999999999998</v>
      </c>
      <c r="M25" s="689">
        <f t="shared" si="5"/>
        <v>223.54173943415998</v>
      </c>
      <c r="N25" s="759">
        <f t="shared" si="3"/>
        <v>406342.37000000011</v>
      </c>
      <c r="O25" s="760">
        <f t="shared" si="4"/>
        <v>56782.221527825299</v>
      </c>
      <c r="P25" s="761" t="s">
        <v>1352</v>
      </c>
      <c r="Q25" s="879"/>
      <c r="R25" s="886"/>
      <c r="S25" s="963">
        <f t="shared" ref="S25:S88" si="6">S24-M25+J25</f>
        <v>56782.218145466781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1.25" customHeight="1">
      <c r="A26" s="614"/>
      <c r="B26" s="639">
        <v>45518</v>
      </c>
      <c r="C26" s="976" t="s">
        <v>445</v>
      </c>
      <c r="D26" s="671"/>
      <c r="E26" s="740">
        <v>5</v>
      </c>
      <c r="F26" s="640" t="s">
        <v>107</v>
      </c>
      <c r="G26" s="640"/>
      <c r="H26" s="640"/>
      <c r="I26" s="640"/>
      <c r="J26" s="640"/>
      <c r="K26" s="709">
        <v>3.6</v>
      </c>
      <c r="L26" s="612">
        <f>'통장내역(환율표)'!$D$208</f>
        <v>7.1574999999999998</v>
      </c>
      <c r="M26" s="689">
        <f t="shared" si="5"/>
        <v>0.50296891372685992</v>
      </c>
      <c r="N26" s="759">
        <f t="shared" si="3"/>
        <v>406338.77000000014</v>
      </c>
      <c r="O26" s="760">
        <f t="shared" si="4"/>
        <v>56781.718558911569</v>
      </c>
      <c r="P26" s="761" t="s">
        <v>1352</v>
      </c>
      <c r="Q26" s="879"/>
      <c r="R26" s="886"/>
      <c r="S26" s="963">
        <f t="shared" si="6"/>
        <v>56781.715176553051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45526</v>
      </c>
      <c r="C27" s="976" t="s">
        <v>892</v>
      </c>
      <c r="D27" s="671"/>
      <c r="E27" s="740">
        <v>6</v>
      </c>
      <c r="F27" s="640" t="s">
        <v>107</v>
      </c>
      <c r="G27" s="640"/>
      <c r="H27" s="640"/>
      <c r="I27" s="640"/>
      <c r="J27" s="640"/>
      <c r="K27" s="709">
        <v>16000</v>
      </c>
      <c r="L27" s="612">
        <f>'통장내역(환율표)'!$D$208</f>
        <v>7.1574999999999998</v>
      </c>
      <c r="M27" s="689">
        <f t="shared" si="5"/>
        <v>2235.4173943415999</v>
      </c>
      <c r="N27" s="759">
        <f t="shared" si="3"/>
        <v>390338.77000000014</v>
      </c>
      <c r="O27" s="760">
        <f t="shared" si="4"/>
        <v>54546.301164569966</v>
      </c>
      <c r="P27" s="761" t="s">
        <v>1352</v>
      </c>
      <c r="Q27" s="879"/>
      <c r="R27" s="886"/>
      <c r="S27" s="963">
        <f t="shared" si="6"/>
        <v>54546.297782211448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45526</v>
      </c>
      <c r="C28" s="976" t="s">
        <v>947</v>
      </c>
      <c r="D28" s="671"/>
      <c r="E28" s="740">
        <v>6</v>
      </c>
      <c r="F28" s="640" t="s">
        <v>107</v>
      </c>
      <c r="G28" s="640"/>
      <c r="H28" s="640"/>
      <c r="I28" s="640"/>
      <c r="J28" s="640"/>
      <c r="K28" s="709">
        <v>24000</v>
      </c>
      <c r="L28" s="612">
        <f>'통장내역(환율표)'!$D$208</f>
        <v>7.1574999999999998</v>
      </c>
      <c r="M28" s="689">
        <f t="shared" si="5"/>
        <v>3353.1260915123999</v>
      </c>
      <c r="N28" s="759">
        <f t="shared" si="3"/>
        <v>366338.77000000014</v>
      </c>
      <c r="O28" s="760">
        <f t="shared" si="4"/>
        <v>51193.175073057566</v>
      </c>
      <c r="P28" s="761" t="s">
        <v>1352</v>
      </c>
      <c r="Q28" s="879"/>
      <c r="R28" s="886"/>
      <c r="S28" s="963">
        <f t="shared" si="6"/>
        <v>51193.171690699048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45526</v>
      </c>
      <c r="C29" s="976" t="s">
        <v>894</v>
      </c>
      <c r="D29" s="671"/>
      <c r="E29" s="740">
        <v>6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'통장내역(환율표)'!$D$208</f>
        <v>7.1574999999999998</v>
      </c>
      <c r="M29" s="689">
        <f t="shared" si="5"/>
        <v>718.85295144952852</v>
      </c>
      <c r="N29" s="759">
        <f t="shared" si="3"/>
        <v>361193.58000000013</v>
      </c>
      <c r="O29" s="760">
        <f t="shared" si="4"/>
        <v>50474.322121608035</v>
      </c>
      <c r="P29" s="761" t="s">
        <v>1352</v>
      </c>
      <c r="Q29" s="879"/>
      <c r="R29" s="886"/>
      <c r="S29" s="963">
        <f t="shared" si="6"/>
        <v>50474.318739249517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45526</v>
      </c>
      <c r="C30" s="976" t="s">
        <v>895</v>
      </c>
      <c r="D30" s="671"/>
      <c r="E30" s="740">
        <v>6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'통장내역(환율표)'!$D$208</f>
        <v>7.1574999999999998</v>
      </c>
      <c r="M30" s="689">
        <f t="shared" si="5"/>
        <v>932.3925951798816</v>
      </c>
      <c r="N30" s="759">
        <f t="shared" si="3"/>
        <v>354519.98000000016</v>
      </c>
      <c r="O30" s="760">
        <f t="shared" si="4"/>
        <v>49541.929526428154</v>
      </c>
      <c r="P30" s="761" t="s">
        <v>1352</v>
      </c>
      <c r="Q30" s="879"/>
      <c r="R30" s="886"/>
      <c r="S30" s="963">
        <f t="shared" si="6"/>
        <v>49541.926144069635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45526</v>
      </c>
      <c r="C31" s="976" t="s">
        <v>899</v>
      </c>
      <c r="D31" s="671"/>
      <c r="E31" s="740">
        <v>6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'통장내역(환율표)'!$D$208</f>
        <v>7.1574999999999998</v>
      </c>
      <c r="M31" s="689">
        <f t="shared" si="5"/>
        <v>41.914076143905</v>
      </c>
      <c r="N31" s="759">
        <f t="shared" si="3"/>
        <v>354219.98000000016</v>
      </c>
      <c r="O31" s="760">
        <f t="shared" si="4"/>
        <v>49500.015450284249</v>
      </c>
      <c r="P31" s="761" t="s">
        <v>1352</v>
      </c>
      <c r="Q31" s="879"/>
      <c r="R31" s="886"/>
      <c r="S31" s="963">
        <f t="shared" si="6"/>
        <v>49500.012067925731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45526</v>
      </c>
      <c r="C32" s="976" t="s">
        <v>892</v>
      </c>
      <c r="D32" s="671"/>
      <c r="E32" s="740">
        <v>6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'통장내역(환율표)'!$D$208</f>
        <v>7.1574999999999998</v>
      </c>
      <c r="M32" s="689">
        <f t="shared" si="5"/>
        <v>2095.7038071952497</v>
      </c>
      <c r="N32" s="759">
        <f t="shared" si="3"/>
        <v>339219.98000000016</v>
      </c>
      <c r="O32" s="760">
        <f t="shared" si="4"/>
        <v>47404.311643089</v>
      </c>
      <c r="P32" s="761" t="s">
        <v>1352</v>
      </c>
      <c r="Q32" s="879"/>
      <c r="R32" s="886"/>
      <c r="S32" s="963">
        <f t="shared" si="6"/>
        <v>47404.308260730482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45526</v>
      </c>
      <c r="C33" s="976" t="s">
        <v>947</v>
      </c>
      <c r="D33" s="671"/>
      <c r="E33" s="740">
        <v>6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'통장내역(환율표)'!$D$208</f>
        <v>7.1574999999999998</v>
      </c>
      <c r="M33" s="689">
        <f t="shared" si="5"/>
        <v>3073.6989172196995</v>
      </c>
      <c r="N33" s="759">
        <f t="shared" si="3"/>
        <v>317219.98000000016</v>
      </c>
      <c r="O33" s="760">
        <f t="shared" si="4"/>
        <v>44330.612725869301</v>
      </c>
      <c r="P33" s="761" t="s">
        <v>1352</v>
      </c>
      <c r="Q33" s="879"/>
      <c r="R33" s="886"/>
      <c r="S33" s="963">
        <f t="shared" si="6"/>
        <v>44330.609343510783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45526</v>
      </c>
      <c r="C34" s="976" t="s">
        <v>894</v>
      </c>
      <c r="D34" s="671"/>
      <c r="E34" s="740">
        <v>6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'통장내역(환율표)'!$D$208</f>
        <v>7.1574999999999998</v>
      </c>
      <c r="M34" s="689">
        <f t="shared" si="5"/>
        <v>1198.2102689486551</v>
      </c>
      <c r="N34" s="759">
        <f t="shared" si="3"/>
        <v>308643.79000000015</v>
      </c>
      <c r="O34" s="760">
        <f t="shared" si="4"/>
        <v>43132.402456920645</v>
      </c>
      <c r="P34" s="761" t="s">
        <v>1352</v>
      </c>
      <c r="Q34" s="879"/>
      <c r="R34" s="886"/>
      <c r="S34" s="963">
        <f t="shared" si="6"/>
        <v>43132.399074562127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45526</v>
      </c>
      <c r="C35" s="976" t="s">
        <v>895</v>
      </c>
      <c r="D35" s="671"/>
      <c r="E35" s="740">
        <v>6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'통장내역(환율표)'!$D$208</f>
        <v>7.1574999999999998</v>
      </c>
      <c r="M35" s="689">
        <f t="shared" si="5"/>
        <v>801.11770869717088</v>
      </c>
      <c r="N35" s="759">
        <f t="shared" si="3"/>
        <v>302909.79000000015</v>
      </c>
      <c r="O35" s="760">
        <f t="shared" si="4"/>
        <v>42331.284748223472</v>
      </c>
      <c r="P35" s="761" t="s">
        <v>1352</v>
      </c>
      <c r="Q35" s="879"/>
      <c r="R35" s="886"/>
      <c r="S35" s="963">
        <f t="shared" si="6"/>
        <v>42331.281365864954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45526</v>
      </c>
      <c r="C36" s="976" t="s">
        <v>899</v>
      </c>
      <c r="D36" s="671"/>
      <c r="E36" s="740">
        <v>6</v>
      </c>
      <c r="F36" s="640" t="s">
        <v>107</v>
      </c>
      <c r="G36" s="640"/>
      <c r="H36" s="640"/>
      <c r="I36" s="640"/>
      <c r="J36" s="640"/>
      <c r="K36" s="709">
        <v>300</v>
      </c>
      <c r="L36" s="612">
        <f>'통장내역(환율표)'!$D$208</f>
        <v>7.1574999999999998</v>
      </c>
      <c r="M36" s="689">
        <f t="shared" si="5"/>
        <v>41.914076143905</v>
      </c>
      <c r="N36" s="759">
        <f t="shared" si="3"/>
        <v>302609.79000000015</v>
      </c>
      <c r="O36" s="760">
        <f t="shared" si="4"/>
        <v>42289.370672079567</v>
      </c>
      <c r="P36" s="761" t="s">
        <v>1352</v>
      </c>
      <c r="Q36" s="879"/>
      <c r="R36" s="886"/>
      <c r="S36" s="963">
        <f t="shared" si="6"/>
        <v>42289.367289721049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45526</v>
      </c>
      <c r="C37" s="976" t="s">
        <v>898</v>
      </c>
      <c r="D37" s="671"/>
      <c r="E37" s="740">
        <v>6</v>
      </c>
      <c r="F37" s="640" t="s">
        <v>107</v>
      </c>
      <c r="G37" s="640"/>
      <c r="H37" s="640"/>
      <c r="I37" s="640"/>
      <c r="J37" s="640"/>
      <c r="K37" s="709">
        <v>25750</v>
      </c>
      <c r="L37" s="612">
        <f>'통장내역(환율표)'!$D$208</f>
        <v>7.1574999999999998</v>
      </c>
      <c r="M37" s="689">
        <f t="shared" si="5"/>
        <v>3597.6248690185121</v>
      </c>
      <c r="N37" s="759">
        <f t="shared" si="3"/>
        <v>276859.79000000015</v>
      </c>
      <c r="O37" s="760">
        <f t="shared" si="4"/>
        <v>38691.745803061058</v>
      </c>
      <c r="P37" s="761" t="s">
        <v>1352</v>
      </c>
      <c r="Q37" s="879"/>
      <c r="R37" s="886"/>
      <c r="S37" s="963">
        <f t="shared" si="6"/>
        <v>38691.74242070254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45526</v>
      </c>
      <c r="C38" s="976" t="s">
        <v>948</v>
      </c>
      <c r="D38" s="671"/>
      <c r="E38" s="740">
        <v>6</v>
      </c>
      <c r="F38" s="640" t="s">
        <v>107</v>
      </c>
      <c r="G38" s="640"/>
      <c r="H38" s="640"/>
      <c r="I38" s="640"/>
      <c r="J38" s="640"/>
      <c r="K38" s="709">
        <v>7173.94</v>
      </c>
      <c r="L38" s="612">
        <f>'통장내역(환율표)'!$D$208</f>
        <v>7.1574999999999998</v>
      </c>
      <c r="M38" s="689">
        <f t="shared" si="5"/>
        <v>1002.296891372686</v>
      </c>
      <c r="N38" s="759">
        <f t="shared" si="3"/>
        <v>269685.85000000015</v>
      </c>
      <c r="O38" s="760">
        <f t="shared" si="4"/>
        <v>37689.448911688371</v>
      </c>
      <c r="P38" s="761" t="s">
        <v>1352</v>
      </c>
      <c r="Q38" s="879"/>
      <c r="R38" s="886"/>
      <c r="S38" s="963">
        <f t="shared" si="6"/>
        <v>37689.445529329852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45526</v>
      </c>
      <c r="C39" s="976" t="s">
        <v>899</v>
      </c>
      <c r="D39" s="671"/>
      <c r="E39" s="740">
        <v>6</v>
      </c>
      <c r="F39" s="640" t="s">
        <v>107</v>
      </c>
      <c r="G39" s="640"/>
      <c r="H39" s="640"/>
      <c r="I39" s="640"/>
      <c r="J39" s="640"/>
      <c r="K39" s="709">
        <v>300</v>
      </c>
      <c r="L39" s="612">
        <f>'통장내역(환율표)'!$D$208</f>
        <v>7.1574999999999998</v>
      </c>
      <c r="M39" s="689">
        <f t="shared" si="5"/>
        <v>41.914076143905</v>
      </c>
      <c r="N39" s="759">
        <f t="shared" si="3"/>
        <v>269385.85000000015</v>
      </c>
      <c r="O39" s="760">
        <f t="shared" si="4"/>
        <v>37647.534835544466</v>
      </c>
      <c r="P39" s="761" t="s">
        <v>1352</v>
      </c>
      <c r="Q39" s="879"/>
      <c r="R39" s="886"/>
      <c r="S39" s="963">
        <f t="shared" si="6"/>
        <v>37647.531453185948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45526</v>
      </c>
      <c r="C40" s="976" t="s">
        <v>992</v>
      </c>
      <c r="D40" s="671"/>
      <c r="E40" s="740">
        <v>6</v>
      </c>
      <c r="F40" s="640" t="s">
        <v>107</v>
      </c>
      <c r="G40" s="640"/>
      <c r="H40" s="640"/>
      <c r="I40" s="640"/>
      <c r="J40" s="640"/>
      <c r="K40" s="709">
        <v>700</v>
      </c>
      <c r="L40" s="612">
        <f>'통장내역(환율표)'!$D$208</f>
        <v>7.1574999999999998</v>
      </c>
      <c r="M40" s="689">
        <f t="shared" si="5"/>
        <v>97.799511002444987</v>
      </c>
      <c r="N40" s="759">
        <f t="shared" si="3"/>
        <v>268685.85000000015</v>
      </c>
      <c r="O40" s="760">
        <f t="shared" si="4"/>
        <v>37549.735324542024</v>
      </c>
      <c r="P40" s="761" t="s">
        <v>1352</v>
      </c>
      <c r="Q40" s="879"/>
      <c r="R40" s="886"/>
      <c r="S40" s="963">
        <f t="shared" si="6"/>
        <v>37549.731942183505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45526</v>
      </c>
      <c r="C41" s="976" t="s">
        <v>898</v>
      </c>
      <c r="D41" s="671"/>
      <c r="E41" s="740">
        <v>6</v>
      </c>
      <c r="F41" s="640" t="s">
        <v>107</v>
      </c>
      <c r="G41" s="640"/>
      <c r="H41" s="640"/>
      <c r="I41" s="640"/>
      <c r="J41" s="640"/>
      <c r="K41" s="709">
        <v>13390</v>
      </c>
      <c r="L41" s="612">
        <f>'통장내역(환율표)'!$D$208</f>
        <v>7.1574999999999998</v>
      </c>
      <c r="M41" s="689">
        <f t="shared" si="5"/>
        <v>1870.7649318896263</v>
      </c>
      <c r="N41" s="759">
        <f t="shared" si="3"/>
        <v>255295.85000000015</v>
      </c>
      <c r="O41" s="760">
        <f t="shared" si="4"/>
        <v>35678.970392652394</v>
      </c>
      <c r="P41" s="761" t="s">
        <v>1352</v>
      </c>
      <c r="Q41" s="879"/>
      <c r="R41" s="886"/>
      <c r="S41" s="963">
        <f t="shared" si="6"/>
        <v>35678.967010293876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45526</v>
      </c>
      <c r="C42" s="976" t="s">
        <v>948</v>
      </c>
      <c r="D42" s="671"/>
      <c r="E42" s="740">
        <v>6</v>
      </c>
      <c r="F42" s="640" t="s">
        <v>107</v>
      </c>
      <c r="G42" s="640"/>
      <c r="H42" s="640"/>
      <c r="I42" s="640"/>
      <c r="J42" s="640"/>
      <c r="K42" s="709">
        <v>3147.67</v>
      </c>
      <c r="L42" s="612">
        <f>'통장내역(환율표)'!$D$208</f>
        <v>7.1574999999999998</v>
      </c>
      <c r="M42" s="689">
        <f t="shared" si="5"/>
        <v>439.77226685295147</v>
      </c>
      <c r="N42" s="759">
        <f t="shared" si="3"/>
        <v>252148.18000000014</v>
      </c>
      <c r="O42" s="760">
        <f t="shared" si="4"/>
        <v>35239.198125799441</v>
      </c>
      <c r="P42" s="761" t="s">
        <v>1352</v>
      </c>
      <c r="Q42" s="879"/>
      <c r="R42" s="886"/>
      <c r="S42" s="963">
        <f t="shared" si="6"/>
        <v>35239.194743440923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45526</v>
      </c>
      <c r="C43" s="976" t="s">
        <v>899</v>
      </c>
      <c r="D43" s="671"/>
      <c r="E43" s="740">
        <v>6</v>
      </c>
      <c r="F43" s="640" t="s">
        <v>107</v>
      </c>
      <c r="G43" s="640"/>
      <c r="H43" s="640"/>
      <c r="I43" s="640"/>
      <c r="J43" s="640"/>
      <c r="K43" s="709">
        <v>300</v>
      </c>
      <c r="L43" s="612">
        <f>'통장내역(환율표)'!$D$208</f>
        <v>7.1574999999999998</v>
      </c>
      <c r="M43" s="689">
        <f t="shared" si="5"/>
        <v>41.914076143905</v>
      </c>
      <c r="N43" s="759">
        <f t="shared" si="3"/>
        <v>251848.18000000014</v>
      </c>
      <c r="O43" s="760">
        <f t="shared" si="4"/>
        <v>35197.284049655536</v>
      </c>
      <c r="P43" s="761" t="s">
        <v>1352</v>
      </c>
      <c r="Q43" s="879"/>
      <c r="R43" s="886"/>
      <c r="S43" s="963">
        <f t="shared" si="6"/>
        <v>35197.280667297018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45526</v>
      </c>
      <c r="C44" s="976" t="s">
        <v>992</v>
      </c>
      <c r="D44" s="671"/>
      <c r="E44" s="740">
        <v>6</v>
      </c>
      <c r="F44" s="640" t="s">
        <v>107</v>
      </c>
      <c r="G44" s="640"/>
      <c r="H44" s="640"/>
      <c r="I44" s="640"/>
      <c r="J44" s="640"/>
      <c r="K44" s="709">
        <v>1200</v>
      </c>
      <c r="L44" s="612">
        <f>'통장내역(환율표)'!$D$208</f>
        <v>7.1574999999999998</v>
      </c>
      <c r="M44" s="689">
        <f t="shared" si="5"/>
        <v>167.65630457562</v>
      </c>
      <c r="N44" s="759">
        <f t="shared" si="3"/>
        <v>250648.18000000014</v>
      </c>
      <c r="O44" s="760">
        <f t="shared" si="4"/>
        <v>35029.627745079917</v>
      </c>
      <c r="P44" s="761" t="s">
        <v>1352</v>
      </c>
      <c r="Q44" s="879"/>
      <c r="R44" s="886"/>
      <c r="S44" s="963">
        <f t="shared" si="6"/>
        <v>35029.624362721399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45526</v>
      </c>
      <c r="C45" s="976" t="s">
        <v>898</v>
      </c>
      <c r="D45" s="671"/>
      <c r="E45" s="740">
        <v>6</v>
      </c>
      <c r="F45" s="640" t="s">
        <v>107</v>
      </c>
      <c r="G45" s="640"/>
      <c r="H45" s="640"/>
      <c r="I45" s="640"/>
      <c r="J45" s="640"/>
      <c r="K45" s="709">
        <v>25750</v>
      </c>
      <c r="L45" s="612">
        <f>'통장내역(환율표)'!$D$208</f>
        <v>7.1574999999999998</v>
      </c>
      <c r="M45" s="689">
        <f t="shared" si="5"/>
        <v>3597.6248690185121</v>
      </c>
      <c r="N45" s="759">
        <f t="shared" si="3"/>
        <v>224898.18000000014</v>
      </c>
      <c r="O45" s="760">
        <f t="shared" si="4"/>
        <v>31432.002876061404</v>
      </c>
      <c r="P45" s="761" t="s">
        <v>1352</v>
      </c>
      <c r="Q45" s="879"/>
      <c r="R45" s="886"/>
      <c r="S45" s="963">
        <f t="shared" si="6"/>
        <v>31431.999493702886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45526</v>
      </c>
      <c r="C46" s="976" t="s">
        <v>948</v>
      </c>
      <c r="D46" s="671"/>
      <c r="E46" s="740">
        <v>6</v>
      </c>
      <c r="F46" s="640" t="s">
        <v>107</v>
      </c>
      <c r="G46" s="640"/>
      <c r="H46" s="640"/>
      <c r="I46" s="640"/>
      <c r="J46" s="640"/>
      <c r="K46" s="709">
        <v>7173.94</v>
      </c>
      <c r="L46" s="612">
        <f>'통장내역(환율표)'!$D$208</f>
        <v>7.1574999999999998</v>
      </c>
      <c r="M46" s="689">
        <f t="shared" si="5"/>
        <v>1002.296891372686</v>
      </c>
      <c r="N46" s="759">
        <f t="shared" si="3"/>
        <v>217724.24000000014</v>
      </c>
      <c r="O46" s="760">
        <f t="shared" si="4"/>
        <v>30429.705984688717</v>
      </c>
      <c r="P46" s="761" t="s">
        <v>1352</v>
      </c>
      <c r="Q46" s="879"/>
      <c r="R46" s="886"/>
      <c r="S46" s="963">
        <f t="shared" si="6"/>
        <v>30429.702602330199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45526</v>
      </c>
      <c r="C47" s="976" t="s">
        <v>899</v>
      </c>
      <c r="D47" s="671"/>
      <c r="E47" s="740">
        <v>6</v>
      </c>
      <c r="F47" s="640" t="s">
        <v>107</v>
      </c>
      <c r="G47" s="640"/>
      <c r="H47" s="640"/>
      <c r="I47" s="640"/>
      <c r="J47" s="640"/>
      <c r="K47" s="709">
        <v>300</v>
      </c>
      <c r="L47" s="612">
        <f>'통장내역(환율표)'!$D$208</f>
        <v>7.1574999999999998</v>
      </c>
      <c r="M47" s="689">
        <f t="shared" si="5"/>
        <v>41.914076143905</v>
      </c>
      <c r="N47" s="759">
        <f t="shared" si="3"/>
        <v>217424.24000000014</v>
      </c>
      <c r="O47" s="760">
        <f t="shared" si="4"/>
        <v>30387.791908544812</v>
      </c>
      <c r="P47" s="761" t="s">
        <v>1352</v>
      </c>
      <c r="Q47" s="879"/>
      <c r="R47" s="886"/>
      <c r="S47" s="963">
        <f t="shared" si="6"/>
        <v>30387.788526186294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45526</v>
      </c>
      <c r="C48" s="976" t="s">
        <v>445</v>
      </c>
      <c r="D48" s="671"/>
      <c r="E48" s="740">
        <v>7</v>
      </c>
      <c r="F48" s="640" t="s">
        <v>107</v>
      </c>
      <c r="G48" s="640"/>
      <c r="H48" s="640"/>
      <c r="I48" s="640"/>
      <c r="J48" s="640"/>
      <c r="K48" s="709">
        <v>12</v>
      </c>
      <c r="L48" s="612">
        <f>'통장내역(환율표)'!$D$208</f>
        <v>7.1574999999999998</v>
      </c>
      <c r="M48" s="689">
        <f t="shared" si="5"/>
        <v>1.6765630457561997</v>
      </c>
      <c r="N48" s="759">
        <f t="shared" si="3"/>
        <v>217412.24000000014</v>
      </c>
      <c r="O48" s="760">
        <f t="shared" si="4"/>
        <v>30386.115345499056</v>
      </c>
      <c r="P48" s="761" t="s">
        <v>1352</v>
      </c>
      <c r="Q48" s="879"/>
      <c r="R48" s="886"/>
      <c r="S48" s="963">
        <f t="shared" si="6"/>
        <v>30386.111963140538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45526</v>
      </c>
      <c r="C49" s="976" t="s">
        <v>306</v>
      </c>
      <c r="D49" s="671"/>
      <c r="E49" s="740">
        <v>8</v>
      </c>
      <c r="F49" s="640" t="s">
        <v>107</v>
      </c>
      <c r="G49" s="640"/>
      <c r="H49" s="640"/>
      <c r="I49" s="640"/>
      <c r="J49" s="640"/>
      <c r="K49" s="709">
        <v>1010</v>
      </c>
      <c r="L49" s="612">
        <f>'통장내역(환율표)'!$D$208</f>
        <v>7.1574999999999998</v>
      </c>
      <c r="M49" s="689">
        <f t="shared" si="5"/>
        <v>141.11072301781348</v>
      </c>
      <c r="N49" s="759">
        <f t="shared" si="3"/>
        <v>216402.24000000014</v>
      </c>
      <c r="O49" s="760">
        <f t="shared" si="4"/>
        <v>30245.004622481243</v>
      </c>
      <c r="P49" s="761" t="s">
        <v>1352</v>
      </c>
      <c r="Q49" s="879"/>
      <c r="R49" s="886"/>
      <c r="S49" s="963">
        <f t="shared" si="6"/>
        <v>30245.001240122725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45526</v>
      </c>
      <c r="C50" s="976" t="s">
        <v>445</v>
      </c>
      <c r="D50" s="671"/>
      <c r="E50" s="740">
        <v>9</v>
      </c>
      <c r="F50" s="640" t="s">
        <v>107</v>
      </c>
      <c r="G50" s="640"/>
      <c r="H50" s="640"/>
      <c r="I50" s="640"/>
      <c r="J50" s="640"/>
      <c r="K50" s="709">
        <v>3.6</v>
      </c>
      <c r="L50" s="612">
        <f>'통장내역(환율표)'!$D$208</f>
        <v>7.1574999999999998</v>
      </c>
      <c r="M50" s="689">
        <f t="shared" si="5"/>
        <v>0.50296891372685992</v>
      </c>
      <c r="N50" s="759">
        <f t="shared" si="3"/>
        <v>216398.64000000013</v>
      </c>
      <c r="O50" s="760">
        <f t="shared" si="4"/>
        <v>30244.501653567517</v>
      </c>
      <c r="P50" s="761" t="s">
        <v>1352</v>
      </c>
      <c r="Q50" s="879"/>
      <c r="R50" s="886"/>
      <c r="S50" s="963">
        <f t="shared" si="6"/>
        <v>30244.498271208999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45527</v>
      </c>
      <c r="C51" s="671" t="s">
        <v>305</v>
      </c>
      <c r="D51" s="671"/>
      <c r="E51" s="740">
        <v>10</v>
      </c>
      <c r="F51" s="640" t="s">
        <v>105</v>
      </c>
      <c r="G51" s="640" t="s">
        <v>227</v>
      </c>
      <c r="H51" s="642"/>
      <c r="I51" s="758"/>
      <c r="J51" s="643"/>
      <c r="K51" s="709">
        <v>10500</v>
      </c>
      <c r="L51" s="612">
        <f>'통장내역(환율표)'!$D$208</f>
        <v>7.1574999999999998</v>
      </c>
      <c r="M51" s="689">
        <f t="shared" si="5"/>
        <v>1466.9926650366749</v>
      </c>
      <c r="N51" s="759">
        <f t="shared" si="3"/>
        <v>205898.64000000013</v>
      </c>
      <c r="O51" s="760">
        <f t="shared" si="4"/>
        <v>28777.508988530841</v>
      </c>
      <c r="P51" s="761" t="s">
        <v>1352</v>
      </c>
      <c r="Q51" s="879"/>
      <c r="R51" s="886"/>
      <c r="S51" s="963">
        <f t="shared" si="6"/>
        <v>28777.505606172323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45527</v>
      </c>
      <c r="C52" s="671" t="s">
        <v>1116</v>
      </c>
      <c r="D52" s="671"/>
      <c r="E52" s="740">
        <v>11</v>
      </c>
      <c r="F52" s="640" t="s">
        <v>107</v>
      </c>
      <c r="G52" s="640"/>
      <c r="H52" s="642"/>
      <c r="I52" s="758"/>
      <c r="J52" s="643"/>
      <c r="K52" s="709">
        <v>6000</v>
      </c>
      <c r="L52" s="612">
        <f>'통장내역(환율표)'!$D$208</f>
        <v>7.1574999999999998</v>
      </c>
      <c r="M52" s="689">
        <f t="shared" si="5"/>
        <v>838.28152287809996</v>
      </c>
      <c r="N52" s="759">
        <f t="shared" ref="N52:N83" si="7">N51+H52-K52</f>
        <v>199898.64000000013</v>
      </c>
      <c r="O52" s="760">
        <f t="shared" ref="O52:O83" si="8">O51+J52-M52</f>
        <v>27939.227465652741</v>
      </c>
      <c r="P52" s="761" t="s">
        <v>1352</v>
      </c>
      <c r="Q52" s="879"/>
      <c r="R52" s="886"/>
      <c r="S52" s="963">
        <f t="shared" si="6"/>
        <v>27939.224083294223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45527</v>
      </c>
      <c r="C53" s="671" t="s">
        <v>1117</v>
      </c>
      <c r="D53" s="671"/>
      <c r="E53" s="740">
        <v>12</v>
      </c>
      <c r="F53" s="640" t="s">
        <v>107</v>
      </c>
      <c r="G53" s="640"/>
      <c r="H53" s="642"/>
      <c r="I53" s="758"/>
      <c r="J53" s="643"/>
      <c r="K53" s="709">
        <v>200</v>
      </c>
      <c r="L53" s="612">
        <f>'통장내역(환율표)'!$D$208</f>
        <v>7.1574999999999998</v>
      </c>
      <c r="M53" s="689">
        <f t="shared" si="5"/>
        <v>27.942717429269997</v>
      </c>
      <c r="N53" s="759">
        <f t="shared" si="7"/>
        <v>199698.64000000013</v>
      </c>
      <c r="O53" s="760">
        <f t="shared" si="8"/>
        <v>27911.284748223472</v>
      </c>
      <c r="P53" s="761" t="s">
        <v>1352</v>
      </c>
      <c r="Q53" s="879"/>
      <c r="R53" s="886"/>
      <c r="S53" s="963">
        <f t="shared" si="6"/>
        <v>27911.281365864954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45527</v>
      </c>
      <c r="C54" s="671" t="s">
        <v>305</v>
      </c>
      <c r="D54" s="671"/>
      <c r="E54" s="740">
        <v>13</v>
      </c>
      <c r="F54" s="640" t="s">
        <v>105</v>
      </c>
      <c r="G54" s="640" t="s">
        <v>227</v>
      </c>
      <c r="H54" s="642"/>
      <c r="I54" s="758"/>
      <c r="J54" s="643"/>
      <c r="K54" s="709">
        <v>7000</v>
      </c>
      <c r="L54" s="612">
        <f>'통장내역(환율표)'!$D$208</f>
        <v>7.1574999999999998</v>
      </c>
      <c r="M54" s="689">
        <f t="shared" si="5"/>
        <v>977.9951100244499</v>
      </c>
      <c r="N54" s="759">
        <f t="shared" si="7"/>
        <v>192698.64000000013</v>
      </c>
      <c r="O54" s="760">
        <f t="shared" si="8"/>
        <v>26933.289638199021</v>
      </c>
      <c r="P54" s="761" t="s">
        <v>1352</v>
      </c>
      <c r="Q54" s="879"/>
      <c r="R54" s="886"/>
      <c r="S54" s="963">
        <f t="shared" si="6"/>
        <v>26933.286255840503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45527</v>
      </c>
      <c r="C55" s="671" t="s">
        <v>1116</v>
      </c>
      <c r="D55" s="671"/>
      <c r="E55" s="740">
        <v>14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'통장내역(환율표)'!$D$208</f>
        <v>7.1574999999999998</v>
      </c>
      <c r="M55" s="689">
        <f t="shared" ref="M55:M86" si="9">K55/L55</f>
        <v>838.28152287809996</v>
      </c>
      <c r="N55" s="759">
        <f t="shared" si="7"/>
        <v>186698.64000000013</v>
      </c>
      <c r="O55" s="760">
        <f t="shared" si="8"/>
        <v>26095.008115320921</v>
      </c>
      <c r="P55" s="761" t="s">
        <v>1352</v>
      </c>
      <c r="Q55" s="879"/>
      <c r="R55" s="886"/>
      <c r="S55" s="963">
        <f t="shared" si="6"/>
        <v>26095.004732962403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45527</v>
      </c>
      <c r="C56" s="671" t="s">
        <v>1117</v>
      </c>
      <c r="D56" s="671"/>
      <c r="E56" s="740">
        <v>15</v>
      </c>
      <c r="F56" s="640" t="s">
        <v>107</v>
      </c>
      <c r="G56" s="640"/>
      <c r="H56" s="642"/>
      <c r="I56" s="758"/>
      <c r="J56" s="643"/>
      <c r="K56" s="709">
        <v>1000</v>
      </c>
      <c r="L56" s="612">
        <f>'통장내역(환율표)'!$D$208</f>
        <v>7.1574999999999998</v>
      </c>
      <c r="M56" s="689">
        <f t="shared" si="9"/>
        <v>139.71358714634999</v>
      </c>
      <c r="N56" s="759">
        <f t="shared" si="7"/>
        <v>185698.64000000013</v>
      </c>
      <c r="O56" s="760">
        <f t="shared" si="8"/>
        <v>25955.294528174571</v>
      </c>
      <c r="P56" s="761" t="s">
        <v>1352</v>
      </c>
      <c r="Q56" s="879"/>
      <c r="R56" s="886"/>
      <c r="S56" s="963">
        <f t="shared" si="6"/>
        <v>25955.291145816052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45527</v>
      </c>
      <c r="C57" s="671" t="s">
        <v>445</v>
      </c>
      <c r="D57" s="671"/>
      <c r="E57" s="740">
        <v>16</v>
      </c>
      <c r="F57" s="640" t="s">
        <v>107</v>
      </c>
      <c r="G57" s="640"/>
      <c r="H57" s="642"/>
      <c r="I57" s="758"/>
      <c r="J57" s="643"/>
      <c r="K57" s="709">
        <v>10.8</v>
      </c>
      <c r="L57" s="612">
        <f>'통장내역(환율표)'!$D$208</f>
        <v>7.1574999999999998</v>
      </c>
      <c r="M57" s="689">
        <f t="shared" si="9"/>
        <v>1.5089067411805799</v>
      </c>
      <c r="N57" s="759">
        <f t="shared" si="7"/>
        <v>185687.84000000014</v>
      </c>
      <c r="O57" s="760">
        <f t="shared" si="8"/>
        <v>25953.785621433391</v>
      </c>
      <c r="P57" s="761" t="s">
        <v>1352</v>
      </c>
      <c r="Q57" s="879"/>
      <c r="R57" s="886"/>
      <c r="S57" s="963">
        <f t="shared" si="6"/>
        <v>25953.782239074873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45527</v>
      </c>
      <c r="C58" s="977" t="s">
        <v>1007</v>
      </c>
      <c r="D58" s="671"/>
      <c r="E58" s="740">
        <v>17</v>
      </c>
      <c r="F58" s="640" t="s">
        <v>146</v>
      </c>
      <c r="G58" s="640" t="s">
        <v>147</v>
      </c>
      <c r="H58" s="640"/>
      <c r="I58" s="640"/>
      <c r="J58" s="640"/>
      <c r="K58" s="709">
        <v>243</v>
      </c>
      <c r="L58" s="612">
        <f>'통장내역(환율표)'!$D$208</f>
        <v>7.1574999999999998</v>
      </c>
      <c r="M58" s="689">
        <f t="shared" si="9"/>
        <v>33.950401676563047</v>
      </c>
      <c r="N58" s="759">
        <f t="shared" si="7"/>
        <v>185444.84000000014</v>
      </c>
      <c r="O58" s="760">
        <f t="shared" si="8"/>
        <v>25919.835219756827</v>
      </c>
      <c r="P58" s="761" t="s">
        <v>1352</v>
      </c>
      <c r="Q58" s="879"/>
      <c r="R58" s="886"/>
      <c r="S58" s="963">
        <f t="shared" si="6"/>
        <v>25919.831837398309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45527</v>
      </c>
      <c r="C59" s="977" t="s">
        <v>1008</v>
      </c>
      <c r="D59" s="671"/>
      <c r="E59" s="740">
        <v>18</v>
      </c>
      <c r="F59" s="640" t="s">
        <v>146</v>
      </c>
      <c r="G59" s="640" t="s">
        <v>147</v>
      </c>
      <c r="H59" s="640"/>
      <c r="I59" s="640"/>
      <c r="J59" s="640"/>
      <c r="K59" s="709">
        <v>3833.94</v>
      </c>
      <c r="L59" s="612">
        <f>'통장내역(환율표)'!$D$208</f>
        <v>7.1574999999999998</v>
      </c>
      <c r="M59" s="689">
        <f t="shared" si="9"/>
        <v>535.65351030387706</v>
      </c>
      <c r="N59" s="759">
        <f t="shared" si="7"/>
        <v>181610.90000000014</v>
      </c>
      <c r="O59" s="760">
        <f t="shared" si="8"/>
        <v>25384.181709452951</v>
      </c>
      <c r="P59" s="761" t="s">
        <v>1352</v>
      </c>
      <c r="Q59" s="879"/>
      <c r="R59" s="886"/>
      <c r="S59" s="963">
        <f t="shared" si="6"/>
        <v>25384.178327094432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45527</v>
      </c>
      <c r="C60" s="977" t="s">
        <v>1006</v>
      </c>
      <c r="D60" s="671"/>
      <c r="E60" s="740">
        <v>19</v>
      </c>
      <c r="F60" s="640" t="s">
        <v>146</v>
      </c>
      <c r="G60" s="640" t="s">
        <v>147</v>
      </c>
      <c r="H60" s="640"/>
      <c r="I60" s="640"/>
      <c r="J60" s="640"/>
      <c r="K60" s="709">
        <v>447</v>
      </c>
      <c r="L60" s="612">
        <f>'통장내역(환율표)'!$D$208</f>
        <v>7.1574999999999998</v>
      </c>
      <c r="M60" s="689">
        <f t="shared" si="9"/>
        <v>62.451973454418443</v>
      </c>
      <c r="N60" s="759">
        <f t="shared" si="7"/>
        <v>181163.90000000014</v>
      </c>
      <c r="O60" s="760">
        <f t="shared" si="8"/>
        <v>25321.729735998531</v>
      </c>
      <c r="P60" s="761" t="s">
        <v>1352</v>
      </c>
      <c r="Q60" s="879"/>
      <c r="R60" s="886"/>
      <c r="S60" s="963">
        <f t="shared" si="6"/>
        <v>25321.726353640013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45527</v>
      </c>
      <c r="C61" s="977" t="s">
        <v>250</v>
      </c>
      <c r="D61" s="671"/>
      <c r="E61" s="740">
        <v>20</v>
      </c>
      <c r="F61" s="640" t="s">
        <v>107</v>
      </c>
      <c r="G61" s="640"/>
      <c r="H61" s="640"/>
      <c r="I61" s="640"/>
      <c r="J61" s="640"/>
      <c r="K61" s="709">
        <v>3.6</v>
      </c>
      <c r="L61" s="612">
        <f>'통장내역(환율표)'!$D$208</f>
        <v>7.1574999999999998</v>
      </c>
      <c r="M61" s="689">
        <f t="shared" si="9"/>
        <v>0.50296891372685992</v>
      </c>
      <c r="N61" s="759">
        <f t="shared" si="7"/>
        <v>181160.30000000013</v>
      </c>
      <c r="O61" s="760">
        <f t="shared" si="8"/>
        <v>25321.226767084805</v>
      </c>
      <c r="P61" s="761" t="s">
        <v>1352</v>
      </c>
      <c r="Q61" s="879"/>
      <c r="R61" s="886"/>
      <c r="S61" s="963">
        <f t="shared" si="6"/>
        <v>25321.223384726287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45527</v>
      </c>
      <c r="C62" s="977" t="s">
        <v>1004</v>
      </c>
      <c r="D62" s="671"/>
      <c r="E62" s="740">
        <v>21</v>
      </c>
      <c r="F62" s="640" t="s">
        <v>146</v>
      </c>
      <c r="G62" s="640" t="s">
        <v>147</v>
      </c>
      <c r="H62" s="640"/>
      <c r="I62" s="640"/>
      <c r="J62" s="640"/>
      <c r="K62" s="709">
        <v>434</v>
      </c>
      <c r="L62" s="612">
        <f>'통장내역(환율표)'!$D$208</f>
        <v>7.1574999999999998</v>
      </c>
      <c r="M62" s="689">
        <f t="shared" si="9"/>
        <v>60.635696821515893</v>
      </c>
      <c r="N62" s="759">
        <f t="shared" si="7"/>
        <v>180726.30000000013</v>
      </c>
      <c r="O62" s="760">
        <f t="shared" si="8"/>
        <v>25260.59107026329</v>
      </c>
      <c r="P62" s="761" t="s">
        <v>1352</v>
      </c>
      <c r="Q62" s="879"/>
      <c r="R62" s="886"/>
      <c r="S62" s="963">
        <f t="shared" si="6"/>
        <v>25260.587687904772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45527</v>
      </c>
      <c r="C63" s="977" t="s">
        <v>1005</v>
      </c>
      <c r="D63" s="671"/>
      <c r="E63" s="740">
        <v>22</v>
      </c>
      <c r="F63" s="640" t="s">
        <v>146</v>
      </c>
      <c r="G63" s="640" t="s">
        <v>147</v>
      </c>
      <c r="H63" s="640"/>
      <c r="I63" s="640"/>
      <c r="J63" s="640"/>
      <c r="K63" s="709">
        <v>2372</v>
      </c>
      <c r="L63" s="612">
        <f>'통장내역(환율표)'!$D$208</f>
        <v>7.1574999999999998</v>
      </c>
      <c r="M63" s="689">
        <f t="shared" si="9"/>
        <v>331.40062871114219</v>
      </c>
      <c r="N63" s="759">
        <f t="shared" si="7"/>
        <v>178354.30000000013</v>
      </c>
      <c r="O63" s="760">
        <f t="shared" si="8"/>
        <v>24929.190441552149</v>
      </c>
      <c r="P63" s="761" t="s">
        <v>1352</v>
      </c>
      <c r="Q63" s="879"/>
      <c r="R63" s="886"/>
      <c r="S63" s="963">
        <f t="shared" si="6"/>
        <v>24929.187059193631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45527</v>
      </c>
      <c r="C64" s="977" t="s">
        <v>1003</v>
      </c>
      <c r="D64" s="671"/>
      <c r="E64" s="740">
        <v>23</v>
      </c>
      <c r="F64" s="640" t="s">
        <v>146</v>
      </c>
      <c r="G64" s="640" t="s">
        <v>147</v>
      </c>
      <c r="H64" s="640"/>
      <c r="I64" s="640"/>
      <c r="J64" s="640"/>
      <c r="K64" s="709">
        <v>143</v>
      </c>
      <c r="L64" s="612">
        <f>'통장내역(환율표)'!$D$208</f>
        <v>7.1574999999999998</v>
      </c>
      <c r="M64" s="689">
        <f t="shared" si="9"/>
        <v>19.979042961928048</v>
      </c>
      <c r="N64" s="759">
        <f t="shared" si="7"/>
        <v>178211.30000000013</v>
      </c>
      <c r="O64" s="760">
        <f t="shared" si="8"/>
        <v>24909.211398590222</v>
      </c>
      <c r="P64" s="761" t="s">
        <v>1352</v>
      </c>
      <c r="Q64" s="879"/>
      <c r="R64" s="886"/>
      <c r="S64" s="963">
        <f t="shared" si="6"/>
        <v>24909.208016231703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45527</v>
      </c>
      <c r="C65" s="977" t="s">
        <v>250</v>
      </c>
      <c r="D65" s="671"/>
      <c r="E65" s="740">
        <v>24</v>
      </c>
      <c r="F65" s="640" t="s">
        <v>107</v>
      </c>
      <c r="G65" s="640"/>
      <c r="H65" s="640"/>
      <c r="I65" s="640"/>
      <c r="J65" s="640"/>
      <c r="K65" s="709">
        <v>3.6</v>
      </c>
      <c r="L65" s="612">
        <f>'통장내역(환율표)'!$D$208</f>
        <v>7.1574999999999998</v>
      </c>
      <c r="M65" s="689">
        <f t="shared" si="9"/>
        <v>0.50296891372685992</v>
      </c>
      <c r="N65" s="759">
        <f t="shared" si="7"/>
        <v>178207.70000000013</v>
      </c>
      <c r="O65" s="760">
        <f t="shared" si="8"/>
        <v>24908.708429676495</v>
      </c>
      <c r="P65" s="761" t="s">
        <v>1352</v>
      </c>
      <c r="Q65" s="879"/>
      <c r="R65" s="887"/>
      <c r="S65" s="963">
        <f t="shared" si="6"/>
        <v>24908.705047317977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45527</v>
      </c>
      <c r="C66" s="671" t="s">
        <v>1331</v>
      </c>
      <c r="D66" s="671"/>
      <c r="E66" s="740">
        <v>25</v>
      </c>
      <c r="F66" s="640" t="s">
        <v>125</v>
      </c>
      <c r="G66" s="640" t="s">
        <v>145</v>
      </c>
      <c r="H66" s="642"/>
      <c r="I66" s="758"/>
      <c r="J66" s="643"/>
      <c r="K66" s="709">
        <v>70</v>
      </c>
      <c r="L66" s="612">
        <f>'통장내역(환율표)'!$D$208</f>
        <v>7.1574999999999998</v>
      </c>
      <c r="M66" s="689">
        <f t="shared" si="9"/>
        <v>9.7799511002444994</v>
      </c>
      <c r="N66" s="759">
        <f t="shared" si="7"/>
        <v>178137.70000000013</v>
      </c>
      <c r="O66" s="760">
        <f t="shared" si="8"/>
        <v>24898.92847857625</v>
      </c>
      <c r="P66" s="761" t="s">
        <v>1352</v>
      </c>
      <c r="Q66" s="879"/>
      <c r="R66" s="887"/>
      <c r="S66" s="963">
        <f t="shared" si="6"/>
        <v>24898.925096217732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45527</v>
      </c>
      <c r="C67" s="671" t="s">
        <v>1019</v>
      </c>
      <c r="D67" s="671"/>
      <c r="E67" s="740">
        <v>26</v>
      </c>
      <c r="F67" s="640" t="s">
        <v>146</v>
      </c>
      <c r="G67" s="640" t="s">
        <v>147</v>
      </c>
      <c r="H67" s="642"/>
      <c r="I67" s="758"/>
      <c r="J67" s="643"/>
      <c r="K67" s="772">
        <v>6599</v>
      </c>
      <c r="L67" s="612">
        <f>'통장내역(환율표)'!$D$208</f>
        <v>7.1574999999999998</v>
      </c>
      <c r="M67" s="689">
        <f t="shared" si="9"/>
        <v>921.96996157876356</v>
      </c>
      <c r="N67" s="759">
        <f t="shared" si="7"/>
        <v>171538.70000000013</v>
      </c>
      <c r="O67" s="760">
        <f t="shared" si="8"/>
        <v>23976.958516997485</v>
      </c>
      <c r="P67" s="761" t="s">
        <v>1352</v>
      </c>
      <c r="Q67" s="879"/>
      <c r="R67" s="887"/>
      <c r="S67" s="963">
        <f t="shared" si="6"/>
        <v>23976.955134638967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45527</v>
      </c>
      <c r="C68" s="671" t="s">
        <v>1016</v>
      </c>
      <c r="D68" s="671"/>
      <c r="E68" s="740">
        <v>27</v>
      </c>
      <c r="F68" s="640" t="s">
        <v>107</v>
      </c>
      <c r="G68" s="640"/>
      <c r="H68" s="642"/>
      <c r="I68" s="758"/>
      <c r="J68" s="643"/>
      <c r="K68" s="772">
        <v>174.4</v>
      </c>
      <c r="L68" s="612">
        <f>'통장내역(환율표)'!$D$208</f>
        <v>7.1574999999999998</v>
      </c>
      <c r="M68" s="689">
        <f t="shared" si="9"/>
        <v>24.366049598323439</v>
      </c>
      <c r="N68" s="759">
        <f t="shared" si="7"/>
        <v>171364.30000000013</v>
      </c>
      <c r="O68" s="760">
        <f t="shared" si="8"/>
        <v>23952.592467399161</v>
      </c>
      <c r="P68" s="761" t="s">
        <v>1352</v>
      </c>
      <c r="Q68" s="879"/>
      <c r="R68" s="887"/>
      <c r="S68" s="963">
        <f t="shared" si="6"/>
        <v>23952.589085040643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45527</v>
      </c>
      <c r="C69" s="671" t="s">
        <v>1020</v>
      </c>
      <c r="D69" s="671"/>
      <c r="E69" s="740">
        <v>28</v>
      </c>
      <c r="F69" s="640" t="s">
        <v>116</v>
      </c>
      <c r="G69" s="640" t="s">
        <v>140</v>
      </c>
      <c r="H69" s="642"/>
      <c r="I69" s="758"/>
      <c r="J69" s="643"/>
      <c r="K69" s="772">
        <v>206.57</v>
      </c>
      <c r="L69" s="612">
        <f>'통장내역(환율표)'!$D$208</f>
        <v>7.1574999999999998</v>
      </c>
      <c r="M69" s="689">
        <f t="shared" si="9"/>
        <v>28.860635696821515</v>
      </c>
      <c r="N69" s="759">
        <f t="shared" si="7"/>
        <v>171157.73000000013</v>
      </c>
      <c r="O69" s="760">
        <f t="shared" si="8"/>
        <v>23923.731831702338</v>
      </c>
      <c r="P69" s="761" t="s">
        <v>1352</v>
      </c>
      <c r="Q69" s="879"/>
      <c r="R69" s="887"/>
      <c r="S69" s="963">
        <f t="shared" si="6"/>
        <v>23923.72844934382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45527</v>
      </c>
      <c r="C70" s="671" t="s">
        <v>1099</v>
      </c>
      <c r="D70" s="671"/>
      <c r="E70" s="740">
        <v>29</v>
      </c>
      <c r="F70" s="640" t="s">
        <v>146</v>
      </c>
      <c r="G70" s="640" t="s">
        <v>147</v>
      </c>
      <c r="H70" s="642"/>
      <c r="I70" s="758"/>
      <c r="J70" s="643"/>
      <c r="K70" s="772">
        <v>616.86</v>
      </c>
      <c r="L70" s="612">
        <f>'통장내역(환율표)'!$D$208</f>
        <v>7.1574999999999998</v>
      </c>
      <c r="M70" s="689">
        <f t="shared" si="9"/>
        <v>86.183723367097457</v>
      </c>
      <c r="N70" s="759">
        <f t="shared" si="7"/>
        <v>170540.87000000014</v>
      </c>
      <c r="O70" s="760">
        <f t="shared" si="8"/>
        <v>23837.548108335242</v>
      </c>
      <c r="P70" s="761" t="s">
        <v>1352</v>
      </c>
      <c r="Q70" s="879"/>
      <c r="R70" s="887"/>
      <c r="S70" s="963">
        <f t="shared" si="6"/>
        <v>23837.544725976724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45527</v>
      </c>
      <c r="C71" s="977" t="s">
        <v>250</v>
      </c>
      <c r="D71" s="671"/>
      <c r="E71" s="740">
        <v>30</v>
      </c>
      <c r="F71" s="640" t="s">
        <v>107</v>
      </c>
      <c r="G71" s="640"/>
      <c r="H71" s="642"/>
      <c r="I71" s="758"/>
      <c r="J71" s="643"/>
      <c r="K71" s="772">
        <v>3.6</v>
      </c>
      <c r="L71" s="612">
        <f>'통장내역(환율표)'!$D$208</f>
        <v>7.1574999999999998</v>
      </c>
      <c r="M71" s="689">
        <f t="shared" si="9"/>
        <v>0.50296891372685992</v>
      </c>
      <c r="N71" s="759">
        <f t="shared" si="7"/>
        <v>170537.27000000014</v>
      </c>
      <c r="O71" s="760">
        <f t="shared" si="8"/>
        <v>23837.045139421516</v>
      </c>
      <c r="P71" s="761" t="s">
        <v>1352</v>
      </c>
      <c r="Q71" s="879"/>
      <c r="R71" s="887"/>
      <c r="S71" s="963">
        <f t="shared" si="6"/>
        <v>23837.041757062998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45527</v>
      </c>
      <c r="C72" s="671" t="s">
        <v>1165</v>
      </c>
      <c r="D72" s="671"/>
      <c r="E72" s="740">
        <v>31</v>
      </c>
      <c r="F72" s="640" t="s">
        <v>146</v>
      </c>
      <c r="G72" s="640" t="s">
        <v>147</v>
      </c>
      <c r="H72" s="642"/>
      <c r="I72" s="758"/>
      <c r="J72" s="643"/>
      <c r="K72" s="772">
        <v>7342</v>
      </c>
      <c r="L72" s="612">
        <f>'통장내역(환율표)'!$D$208</f>
        <v>7.1574999999999998</v>
      </c>
      <c r="M72" s="689">
        <f t="shared" si="9"/>
        <v>1025.7771568285016</v>
      </c>
      <c r="N72" s="759">
        <f t="shared" si="7"/>
        <v>163195.27000000014</v>
      </c>
      <c r="O72" s="760">
        <f t="shared" si="8"/>
        <v>22811.267982593014</v>
      </c>
      <c r="P72" s="761" t="s">
        <v>1352</v>
      </c>
      <c r="Q72" s="879"/>
      <c r="R72" s="887"/>
      <c r="S72" s="963">
        <f t="shared" si="6"/>
        <v>22811.264600234495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45527</v>
      </c>
      <c r="C73" s="671" t="s">
        <v>852</v>
      </c>
      <c r="D73" s="671"/>
      <c r="E73" s="740">
        <v>32</v>
      </c>
      <c r="F73" s="640" t="s">
        <v>107</v>
      </c>
      <c r="G73" s="640"/>
      <c r="H73" s="642"/>
      <c r="I73" s="758"/>
      <c r="J73" s="643"/>
      <c r="K73" s="772">
        <v>362.75</v>
      </c>
      <c r="L73" s="612">
        <f>'통장내역(환율표)'!$D$208</f>
        <v>7.1574999999999998</v>
      </c>
      <c r="M73" s="689">
        <f t="shared" si="9"/>
        <v>50.681103737338461</v>
      </c>
      <c r="N73" s="759">
        <f t="shared" si="7"/>
        <v>162832.52000000014</v>
      </c>
      <c r="O73" s="760">
        <f t="shared" si="8"/>
        <v>22760.586878855676</v>
      </c>
      <c r="P73" s="761" t="s">
        <v>1352</v>
      </c>
      <c r="Q73" s="879"/>
      <c r="R73" s="887"/>
      <c r="S73" s="963">
        <f t="shared" si="6"/>
        <v>22760.583496497158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45527</v>
      </c>
      <c r="C74" s="671" t="s">
        <v>851</v>
      </c>
      <c r="D74" s="671"/>
      <c r="E74" s="740">
        <v>33</v>
      </c>
      <c r="F74" s="640" t="s">
        <v>116</v>
      </c>
      <c r="G74" s="640" t="s">
        <v>140</v>
      </c>
      <c r="H74" s="642"/>
      <c r="I74" s="758"/>
      <c r="J74" s="643"/>
      <c r="K74" s="772">
        <v>99.1</v>
      </c>
      <c r="L74" s="612">
        <f>'통장내역(환율표)'!$D$208</f>
        <v>7.1574999999999998</v>
      </c>
      <c r="M74" s="689">
        <f t="shared" si="9"/>
        <v>13.845616486203284</v>
      </c>
      <c r="N74" s="759">
        <f t="shared" si="7"/>
        <v>162733.42000000013</v>
      </c>
      <c r="O74" s="760">
        <f t="shared" si="8"/>
        <v>22746.741262369473</v>
      </c>
      <c r="P74" s="761" t="s">
        <v>1352</v>
      </c>
      <c r="Q74" s="879"/>
      <c r="R74" s="887"/>
      <c r="S74" s="963">
        <f t="shared" si="6"/>
        <v>22746.737880010955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45527</v>
      </c>
      <c r="C75" s="671" t="s">
        <v>1344</v>
      </c>
      <c r="D75" s="671"/>
      <c r="E75" s="740">
        <v>34</v>
      </c>
      <c r="F75" s="640" t="s">
        <v>146</v>
      </c>
      <c r="G75" s="640" t="s">
        <v>147</v>
      </c>
      <c r="H75" s="642"/>
      <c r="I75" s="758"/>
      <c r="J75" s="643"/>
      <c r="K75" s="772">
        <v>852.97</v>
      </c>
      <c r="L75" s="612">
        <f>'통장내역(환율표)'!$D$208</f>
        <v>7.1574999999999998</v>
      </c>
      <c r="M75" s="689">
        <f t="shared" si="9"/>
        <v>119.17149842822215</v>
      </c>
      <c r="N75" s="759">
        <f t="shared" si="7"/>
        <v>161880.45000000013</v>
      </c>
      <c r="O75" s="760">
        <f t="shared" si="8"/>
        <v>22627.56976394125</v>
      </c>
      <c r="P75" s="761" t="s">
        <v>1352</v>
      </c>
      <c r="Q75" s="879"/>
      <c r="R75" s="887"/>
      <c r="S75" s="963">
        <f t="shared" si="6"/>
        <v>22627.566381582732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45527</v>
      </c>
      <c r="C76" s="977" t="s">
        <v>250</v>
      </c>
      <c r="D76" s="671"/>
      <c r="E76" s="740">
        <v>35</v>
      </c>
      <c r="F76" s="640" t="s">
        <v>107</v>
      </c>
      <c r="G76" s="640"/>
      <c r="H76" s="642"/>
      <c r="I76" s="758"/>
      <c r="J76" s="643"/>
      <c r="K76" s="772">
        <v>3.6</v>
      </c>
      <c r="L76" s="612">
        <f>'통장내역(환율표)'!$D$208</f>
        <v>7.1574999999999998</v>
      </c>
      <c r="M76" s="689">
        <f t="shared" si="9"/>
        <v>0.50296891372685992</v>
      </c>
      <c r="N76" s="759">
        <f t="shared" si="7"/>
        <v>161876.85000000012</v>
      </c>
      <c r="O76" s="760">
        <f t="shared" si="8"/>
        <v>22627.066795027524</v>
      </c>
      <c r="P76" s="761" t="s">
        <v>1352</v>
      </c>
      <c r="Q76" s="879"/>
      <c r="R76" s="887"/>
      <c r="S76" s="963">
        <f t="shared" si="6"/>
        <v>22627.063412669006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45527</v>
      </c>
      <c r="C77" s="671" t="s">
        <v>1107</v>
      </c>
      <c r="D77" s="671"/>
      <c r="E77" s="740">
        <v>36</v>
      </c>
      <c r="F77" s="640" t="s">
        <v>146</v>
      </c>
      <c r="G77" s="640" t="s">
        <v>147</v>
      </c>
      <c r="H77" s="642"/>
      <c r="I77" s="758"/>
      <c r="J77" s="643"/>
      <c r="K77" s="772">
        <v>12622.43</v>
      </c>
      <c r="L77" s="612">
        <f>'통장내역(환율표)'!$D$208</f>
        <v>7.1574999999999998</v>
      </c>
      <c r="M77" s="689">
        <f t="shared" si="9"/>
        <v>1763.5249738037026</v>
      </c>
      <c r="N77" s="759">
        <f t="shared" si="7"/>
        <v>149254.42000000013</v>
      </c>
      <c r="O77" s="760">
        <f t="shared" si="8"/>
        <v>20863.541821223822</v>
      </c>
      <c r="P77" s="761" t="s">
        <v>1352</v>
      </c>
      <c r="Q77" s="879"/>
      <c r="R77" s="887"/>
      <c r="S77" s="963">
        <f t="shared" si="6"/>
        <v>20863.538438865304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45527</v>
      </c>
      <c r="C78" s="671" t="s">
        <v>1265</v>
      </c>
      <c r="D78" s="671"/>
      <c r="E78" s="740">
        <v>37</v>
      </c>
      <c r="F78" s="640" t="s">
        <v>107</v>
      </c>
      <c r="G78" s="640"/>
      <c r="H78" s="642"/>
      <c r="I78" s="758"/>
      <c r="J78" s="643"/>
      <c r="K78" s="772">
        <v>1019.75</v>
      </c>
      <c r="L78" s="612">
        <f>'통장내역(환율표)'!$D$208</f>
        <v>7.1574999999999998</v>
      </c>
      <c r="M78" s="689">
        <f t="shared" si="9"/>
        <v>142.47293049249041</v>
      </c>
      <c r="N78" s="759">
        <f t="shared" si="7"/>
        <v>148234.67000000013</v>
      </c>
      <c r="O78" s="760">
        <f t="shared" si="8"/>
        <v>20721.068890731331</v>
      </c>
      <c r="P78" s="761" t="s">
        <v>1352</v>
      </c>
      <c r="Q78" s="879"/>
      <c r="R78" s="887"/>
      <c r="S78" s="963">
        <f t="shared" si="6"/>
        <v>20721.065508372812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ht="11.25" customHeight="1">
      <c r="B79" s="639">
        <v>45527</v>
      </c>
      <c r="C79" s="671" t="s">
        <v>1345</v>
      </c>
      <c r="D79" s="671"/>
      <c r="E79" s="740">
        <v>38</v>
      </c>
      <c r="F79" s="640" t="s">
        <v>116</v>
      </c>
      <c r="G79" s="640" t="s">
        <v>140</v>
      </c>
      <c r="H79" s="642"/>
      <c r="I79" s="758"/>
      <c r="J79" s="643"/>
      <c r="K79" s="772">
        <v>419</v>
      </c>
      <c r="L79" s="612">
        <f>'통장내역(환율표)'!$D$208</f>
        <v>7.1574999999999998</v>
      </c>
      <c r="M79" s="689">
        <f t="shared" si="9"/>
        <v>58.539993014320643</v>
      </c>
      <c r="N79" s="759">
        <f t="shared" si="7"/>
        <v>147815.67000000013</v>
      </c>
      <c r="O79" s="760">
        <f t="shared" si="8"/>
        <v>20662.528897717009</v>
      </c>
      <c r="P79" s="761" t="s">
        <v>1352</v>
      </c>
      <c r="Q79" s="879"/>
      <c r="R79" s="887"/>
      <c r="S79" s="963">
        <f t="shared" si="6"/>
        <v>20662.525515358491</v>
      </c>
    </row>
    <row r="80" spans="1:29" ht="11.25" customHeight="1">
      <c r="B80" s="639">
        <v>45527</v>
      </c>
      <c r="C80" s="671" t="s">
        <v>1346</v>
      </c>
      <c r="D80" s="671"/>
      <c r="E80" s="740">
        <v>39</v>
      </c>
      <c r="F80" s="640" t="s">
        <v>146</v>
      </c>
      <c r="G80" s="640" t="s">
        <v>147</v>
      </c>
      <c r="H80" s="642"/>
      <c r="I80" s="758"/>
      <c r="J80" s="643"/>
      <c r="K80" s="772">
        <v>257.89999999999998</v>
      </c>
      <c r="L80" s="612">
        <f>'통장내역(환율표)'!$D$208</f>
        <v>7.1574999999999998</v>
      </c>
      <c r="M80" s="689">
        <f t="shared" si="9"/>
        <v>36.032134125043662</v>
      </c>
      <c r="N80" s="759">
        <f t="shared" si="7"/>
        <v>147557.77000000014</v>
      </c>
      <c r="O80" s="760">
        <f t="shared" si="8"/>
        <v>20626.496763591967</v>
      </c>
      <c r="P80" s="761" t="s">
        <v>1352</v>
      </c>
      <c r="Q80" s="879"/>
      <c r="R80" s="887"/>
      <c r="S80" s="963">
        <f t="shared" si="6"/>
        <v>20626.493381233449</v>
      </c>
    </row>
    <row r="81" spans="1:29" ht="11.25" customHeight="1">
      <c r="B81" s="639">
        <v>45527</v>
      </c>
      <c r="C81" s="671" t="s">
        <v>845</v>
      </c>
      <c r="D81" s="671"/>
      <c r="E81" s="740">
        <v>40</v>
      </c>
      <c r="F81" s="640" t="s">
        <v>125</v>
      </c>
      <c r="G81" s="640" t="s">
        <v>145</v>
      </c>
      <c r="H81" s="642"/>
      <c r="I81" s="758"/>
      <c r="J81" s="643"/>
      <c r="K81" s="772">
        <v>2043.5</v>
      </c>
      <c r="L81" s="612">
        <f>'통장내역(환율표)'!$D$208</f>
        <v>7.1574999999999998</v>
      </c>
      <c r="M81" s="689">
        <f t="shared" si="9"/>
        <v>285.5047153335662</v>
      </c>
      <c r="N81" s="759">
        <f t="shared" si="7"/>
        <v>145514.27000000014</v>
      </c>
      <c r="O81" s="760">
        <f t="shared" si="8"/>
        <v>20340.992048258402</v>
      </c>
      <c r="P81" s="761" t="s">
        <v>1352</v>
      </c>
      <c r="Q81" s="881"/>
      <c r="R81" s="887"/>
      <c r="S81" s="963">
        <f t="shared" si="6"/>
        <v>20340.988665899884</v>
      </c>
    </row>
    <row r="82" spans="1:29" ht="11.25" customHeight="1">
      <c r="B82" s="639">
        <v>45527</v>
      </c>
      <c r="C82" s="977" t="s">
        <v>250</v>
      </c>
      <c r="D82" s="671"/>
      <c r="E82" s="740">
        <v>41</v>
      </c>
      <c r="F82" s="640" t="s">
        <v>107</v>
      </c>
      <c r="G82" s="640"/>
      <c r="H82" s="642"/>
      <c r="I82" s="758"/>
      <c r="J82" s="643"/>
      <c r="K82" s="772">
        <v>7.2</v>
      </c>
      <c r="L82" s="612">
        <f>'통장내역(환율표)'!$D$208</f>
        <v>7.1574999999999998</v>
      </c>
      <c r="M82" s="689">
        <f t="shared" si="9"/>
        <v>1.0059378274537198</v>
      </c>
      <c r="N82" s="759">
        <f t="shared" si="7"/>
        <v>145507.07000000012</v>
      </c>
      <c r="O82" s="760">
        <f t="shared" si="8"/>
        <v>20339.986110430949</v>
      </c>
      <c r="P82" s="761" t="s">
        <v>1352</v>
      </c>
      <c r="Q82" s="881"/>
      <c r="R82" s="887"/>
      <c r="S82" s="963">
        <f t="shared" si="6"/>
        <v>20339.982728072431</v>
      </c>
    </row>
    <row r="83" spans="1:29" ht="11.25" customHeight="1">
      <c r="B83" s="639">
        <v>45527</v>
      </c>
      <c r="C83" s="671" t="s">
        <v>1308</v>
      </c>
      <c r="D83" s="671"/>
      <c r="E83" s="740">
        <v>42</v>
      </c>
      <c r="F83" s="640" t="s">
        <v>125</v>
      </c>
      <c r="G83" s="640" t="s">
        <v>145</v>
      </c>
      <c r="H83" s="642"/>
      <c r="I83" s="758"/>
      <c r="J83" s="643"/>
      <c r="K83" s="772">
        <v>3900.9</v>
      </c>
      <c r="L83" s="612">
        <f>'통장내역(환율표)'!$D$208</f>
        <v>7.1574999999999998</v>
      </c>
      <c r="M83" s="689">
        <f t="shared" si="9"/>
        <v>545.00873209919666</v>
      </c>
      <c r="N83" s="759">
        <f t="shared" si="7"/>
        <v>141606.17000000013</v>
      </c>
      <c r="O83" s="760">
        <f t="shared" si="8"/>
        <v>19794.977378331754</v>
      </c>
      <c r="P83" s="761" t="s">
        <v>1352</v>
      </c>
      <c r="Q83" s="881"/>
      <c r="R83" s="887" t="s">
        <v>1350</v>
      </c>
      <c r="S83" s="963">
        <f t="shared" si="6"/>
        <v>19794.973995973236</v>
      </c>
    </row>
    <row r="84" spans="1:29" ht="11.25" customHeight="1">
      <c r="B84" s="639">
        <v>45527</v>
      </c>
      <c r="C84" s="671" t="s">
        <v>1309</v>
      </c>
      <c r="D84" s="671"/>
      <c r="E84" s="740">
        <v>43</v>
      </c>
      <c r="F84" s="640" t="s">
        <v>146</v>
      </c>
      <c r="G84" s="640" t="s">
        <v>147</v>
      </c>
      <c r="H84" s="642"/>
      <c r="I84" s="758"/>
      <c r="J84" s="643"/>
      <c r="K84" s="772">
        <v>149.01</v>
      </c>
      <c r="L84" s="612">
        <f>'통장내역(환율표)'!$D$208</f>
        <v>7.1574999999999998</v>
      </c>
      <c r="M84" s="689">
        <f t="shared" si="9"/>
        <v>20.818721620677611</v>
      </c>
      <c r="N84" s="759">
        <f t="shared" ref="N84:N92" si="10">N83+H84-K84</f>
        <v>141457.16000000012</v>
      </c>
      <c r="O84" s="760">
        <f t="shared" ref="O84:O92" si="11">O83+J84-M84</f>
        <v>19774.158656711075</v>
      </c>
      <c r="P84" s="761" t="s">
        <v>1352</v>
      </c>
      <c r="Q84" s="879"/>
      <c r="R84" s="887"/>
      <c r="S84" s="963">
        <f t="shared" si="6"/>
        <v>19774.155274352557</v>
      </c>
    </row>
    <row r="85" spans="1:29" ht="11.25" customHeight="1">
      <c r="B85" s="639">
        <v>45527</v>
      </c>
      <c r="C85" s="671" t="s">
        <v>1261</v>
      </c>
      <c r="D85" s="671"/>
      <c r="E85" s="740">
        <v>44</v>
      </c>
      <c r="F85" s="640" t="s">
        <v>116</v>
      </c>
      <c r="G85" s="640" t="s">
        <v>140</v>
      </c>
      <c r="H85" s="642"/>
      <c r="I85" s="758"/>
      <c r="J85" s="643"/>
      <c r="K85" s="772">
        <v>299</v>
      </c>
      <c r="L85" s="612">
        <f>'통장내역(환율표)'!$D$208</f>
        <v>7.1574999999999998</v>
      </c>
      <c r="M85" s="689">
        <f t="shared" si="9"/>
        <v>41.774362556758646</v>
      </c>
      <c r="N85" s="759">
        <f t="shared" si="10"/>
        <v>141158.16000000012</v>
      </c>
      <c r="O85" s="760">
        <f t="shared" si="11"/>
        <v>19732.384294154315</v>
      </c>
      <c r="P85" s="761" t="s">
        <v>1352</v>
      </c>
      <c r="Q85" s="881"/>
      <c r="R85" s="887"/>
      <c r="S85" s="963">
        <f t="shared" si="6"/>
        <v>19732.380911795797</v>
      </c>
    </row>
    <row r="86" spans="1:29" ht="11.25" customHeight="1">
      <c r="B86" s="639">
        <v>45527</v>
      </c>
      <c r="C86" s="671" t="s">
        <v>1262</v>
      </c>
      <c r="D86" s="671"/>
      <c r="E86" s="740">
        <v>45</v>
      </c>
      <c r="F86" s="640" t="s">
        <v>107</v>
      </c>
      <c r="G86" s="640"/>
      <c r="H86" s="642"/>
      <c r="I86" s="758"/>
      <c r="J86" s="643"/>
      <c r="K86" s="772">
        <v>12</v>
      </c>
      <c r="L86" s="612">
        <f>'통장내역(환율표)'!$D$208</f>
        <v>7.1574999999999998</v>
      </c>
      <c r="M86" s="689">
        <f t="shared" si="9"/>
        <v>1.6765630457561997</v>
      </c>
      <c r="N86" s="759">
        <f t="shared" si="10"/>
        <v>141146.16000000012</v>
      </c>
      <c r="O86" s="760">
        <f t="shared" si="11"/>
        <v>19730.70773110856</v>
      </c>
      <c r="P86" s="761" t="s">
        <v>1352</v>
      </c>
      <c r="Q86" s="881"/>
      <c r="R86" s="887"/>
      <c r="S86" s="963">
        <f t="shared" si="6"/>
        <v>19730.704348750041</v>
      </c>
    </row>
    <row r="87" spans="1:29" ht="11.25" customHeight="1">
      <c r="B87" s="639">
        <v>45527</v>
      </c>
      <c r="C87" s="977" t="s">
        <v>250</v>
      </c>
      <c r="D87" s="671"/>
      <c r="E87" s="740">
        <v>46</v>
      </c>
      <c r="F87" s="640" t="s">
        <v>107</v>
      </c>
      <c r="G87" s="640"/>
      <c r="H87" s="642"/>
      <c r="I87" s="758"/>
      <c r="J87" s="643"/>
      <c r="K87" s="772">
        <v>3.6</v>
      </c>
      <c r="L87" s="612">
        <f>'통장내역(환율표)'!$D$208</f>
        <v>7.1574999999999998</v>
      </c>
      <c r="M87" s="689">
        <f t="shared" ref="M87:M92" si="12">K87/L87</f>
        <v>0.50296891372685992</v>
      </c>
      <c r="N87" s="759">
        <f t="shared" si="10"/>
        <v>141142.56000000011</v>
      </c>
      <c r="O87" s="760">
        <f t="shared" si="11"/>
        <v>19730.204762194833</v>
      </c>
      <c r="P87" s="761" t="s">
        <v>1352</v>
      </c>
      <c r="Q87" s="881"/>
      <c r="R87" s="887"/>
      <c r="S87" s="963">
        <f t="shared" si="6"/>
        <v>19730.201379836315</v>
      </c>
    </row>
    <row r="88" spans="1:29" ht="11.25" customHeight="1">
      <c r="B88" s="639">
        <v>45527</v>
      </c>
      <c r="C88" s="671" t="s">
        <v>1347</v>
      </c>
      <c r="D88" s="671"/>
      <c r="E88" s="740">
        <v>47</v>
      </c>
      <c r="F88" s="640" t="s">
        <v>107</v>
      </c>
      <c r="G88" s="640"/>
      <c r="H88" s="642"/>
      <c r="I88" s="758"/>
      <c r="J88" s="643"/>
      <c r="K88" s="772">
        <v>84700</v>
      </c>
      <c r="L88" s="612">
        <f>'통장내역(환율표)'!$D$208</f>
        <v>7.1574999999999998</v>
      </c>
      <c r="M88" s="689">
        <f t="shared" si="12"/>
        <v>11833.740831295843</v>
      </c>
      <c r="N88" s="759">
        <f t="shared" si="10"/>
        <v>56442.560000000114</v>
      </c>
      <c r="O88" s="760">
        <f t="shared" si="11"/>
        <v>7896.4639308989899</v>
      </c>
      <c r="P88" s="761" t="s">
        <v>1352</v>
      </c>
      <c r="Q88" s="881"/>
      <c r="R88" s="887"/>
      <c r="S88" s="963">
        <f t="shared" si="6"/>
        <v>7896.4605485404718</v>
      </c>
    </row>
    <row r="89" spans="1:29" ht="11.25" customHeight="1">
      <c r="B89" s="639">
        <v>45527</v>
      </c>
      <c r="C89" s="671" t="s">
        <v>1348</v>
      </c>
      <c r="D89" s="671"/>
      <c r="E89" s="740">
        <v>48</v>
      </c>
      <c r="F89" s="640" t="s">
        <v>116</v>
      </c>
      <c r="G89" s="640" t="s">
        <v>140</v>
      </c>
      <c r="H89" s="642"/>
      <c r="I89" s="758"/>
      <c r="J89" s="643"/>
      <c r="K89" s="772">
        <v>300</v>
      </c>
      <c r="L89" s="612">
        <f>'통장내역(환율표)'!$D$208</f>
        <v>7.1574999999999998</v>
      </c>
      <c r="M89" s="689">
        <f t="shared" si="12"/>
        <v>41.914076143905</v>
      </c>
      <c r="N89" s="759">
        <f t="shared" si="10"/>
        <v>56142.560000000114</v>
      </c>
      <c r="O89" s="760">
        <f t="shared" si="11"/>
        <v>7854.5498547550851</v>
      </c>
      <c r="P89" s="761" t="s">
        <v>1352</v>
      </c>
      <c r="Q89" s="881"/>
      <c r="R89" s="887"/>
      <c r="S89" s="963">
        <f>S88-M89+J89</f>
        <v>7854.546472396567</v>
      </c>
    </row>
    <row r="90" spans="1:29" ht="11.25" customHeight="1">
      <c r="B90" s="639">
        <v>45527</v>
      </c>
      <c r="C90" s="671" t="s">
        <v>1349</v>
      </c>
      <c r="D90" s="671"/>
      <c r="E90" s="740">
        <v>49</v>
      </c>
      <c r="F90" s="640" t="s">
        <v>146</v>
      </c>
      <c r="G90" s="640" t="s">
        <v>147</v>
      </c>
      <c r="H90" s="642"/>
      <c r="I90" s="758"/>
      <c r="J90" s="643"/>
      <c r="K90" s="772">
        <v>5703.24</v>
      </c>
      <c r="L90" s="612">
        <f>'통장내역(환율표)'!$D$208</f>
        <v>7.1574999999999998</v>
      </c>
      <c r="M90" s="689">
        <f t="shared" si="12"/>
        <v>796.82011875654905</v>
      </c>
      <c r="N90" s="759">
        <f t="shared" si="10"/>
        <v>50439.320000000116</v>
      </c>
      <c r="O90" s="760">
        <f t="shared" si="11"/>
        <v>7057.7297359985359</v>
      </c>
      <c r="P90" s="761" t="s">
        <v>1352</v>
      </c>
      <c r="Q90" s="881"/>
      <c r="R90" s="887"/>
      <c r="S90" s="963">
        <f>S89-M90+J90</f>
        <v>7057.7263536400178</v>
      </c>
    </row>
    <row r="91" spans="1:29" ht="11.25" customHeight="1">
      <c r="B91" s="639">
        <v>45527</v>
      </c>
      <c r="C91" s="671" t="s">
        <v>839</v>
      </c>
      <c r="D91" s="671"/>
      <c r="E91" s="740">
        <v>50</v>
      </c>
      <c r="F91" s="640" t="s">
        <v>125</v>
      </c>
      <c r="G91" s="640" t="s">
        <v>145</v>
      </c>
      <c r="H91" s="642"/>
      <c r="I91" s="758"/>
      <c r="J91" s="643"/>
      <c r="K91" s="772">
        <v>13562</v>
      </c>
      <c r="L91" s="612">
        <f>'통장내역(환율표)'!$D$208</f>
        <v>7.1574999999999998</v>
      </c>
      <c r="M91" s="689">
        <f t="shared" si="12"/>
        <v>1894.7956688787986</v>
      </c>
      <c r="N91" s="759">
        <f t="shared" si="10"/>
        <v>36877.320000000116</v>
      </c>
      <c r="O91" s="760">
        <f t="shared" si="11"/>
        <v>5162.9340671197369</v>
      </c>
      <c r="P91" s="761" t="s">
        <v>1352</v>
      </c>
      <c r="Q91" s="881"/>
      <c r="R91" s="887"/>
      <c r="S91" s="963">
        <f>S90-M91+J91</f>
        <v>5162.9306847612188</v>
      </c>
    </row>
    <row r="92" spans="1:29" ht="11.25" customHeight="1">
      <c r="B92" s="639">
        <v>45527</v>
      </c>
      <c r="C92" s="977" t="s">
        <v>250</v>
      </c>
      <c r="D92" s="671"/>
      <c r="E92" s="740">
        <v>51</v>
      </c>
      <c r="F92" s="640" t="s">
        <v>107</v>
      </c>
      <c r="G92" s="640"/>
      <c r="H92" s="642"/>
      <c r="I92" s="758"/>
      <c r="J92" s="643"/>
      <c r="K92" s="709">
        <v>18</v>
      </c>
      <c r="L92" s="612">
        <f>'통장내역(환율표)'!$D$208</f>
        <v>7.1574999999999998</v>
      </c>
      <c r="M92" s="689">
        <f t="shared" si="12"/>
        <v>2.5148445686342997</v>
      </c>
      <c r="N92" s="928">
        <f t="shared" si="10"/>
        <v>36859.320000000116</v>
      </c>
      <c r="O92" s="927">
        <f t="shared" si="11"/>
        <v>5160.4192225511024</v>
      </c>
      <c r="P92" s="761" t="s">
        <v>1352</v>
      </c>
      <c r="Q92" s="881"/>
      <c r="R92" s="887"/>
      <c r="S92" s="980">
        <f>S91-M92+J92</f>
        <v>5160.4158401925843</v>
      </c>
    </row>
    <row r="93" spans="1:29" ht="11.25" customHeight="1">
      <c r="C93" s="973"/>
      <c r="D93" s="589"/>
      <c r="E93" s="589"/>
      <c r="F93" s="589"/>
      <c r="G93" s="589"/>
      <c r="H93" s="589"/>
      <c r="K93" s="531"/>
    </row>
    <row r="94" spans="1:29" ht="11.25" customHeight="1">
      <c r="C94" s="973"/>
      <c r="D94" s="589"/>
      <c r="E94" s="589"/>
      <c r="F94" s="589"/>
      <c r="G94" s="589"/>
      <c r="H94" s="589"/>
      <c r="K94" s="531"/>
    </row>
    <row r="95" spans="1:29" ht="11.25" customHeight="1">
      <c r="C95" s="973"/>
      <c r="D95" s="589"/>
      <c r="E95" s="589"/>
      <c r="F95" s="589"/>
      <c r="G95" s="971"/>
      <c r="H95" s="559"/>
      <c r="I95" s="559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97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97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97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97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89"/>
      <c r="H105" s="589"/>
      <c r="I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89"/>
      <c r="H106" s="589"/>
      <c r="I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</sheetData>
  <autoFilter ref="B18:R92" xr:uid="{00000000-0009-0000-0000-000001000000}">
    <filterColumn colId="14" showButton="0"/>
    <sortState xmlns:xlrd2="http://schemas.microsoft.com/office/spreadsheetml/2017/richdata2" ref="B21:R83">
      <sortCondition sortBy="cellColor" ref="M18:M92" dxfId="11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B59-D47E-4A2E-8332-4FC9A5F4BB7B}">
  <sheetPr>
    <tabColor theme="7" tint="-0.249977111117893"/>
  </sheetPr>
  <dimension ref="A1:AC108"/>
  <sheetViews>
    <sheetView showGridLines="0" zoomScaleNormal="100" workbookViewId="0">
      <pane ySplit="19" topLeftCell="A20" activePane="bottomLeft" state="frozen"/>
      <selection activeCell="D97" sqref="D97"/>
      <selection pane="bottomLeft" activeCell="D97" sqref="D97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1342</v>
      </c>
      <c r="C3" s="547"/>
      <c r="D3" s="547"/>
      <c r="E3" s="547"/>
      <c r="F3" s="790">
        <v>1369.4</v>
      </c>
      <c r="G3" s="550"/>
      <c r="H3" s="546" t="s">
        <v>1354</v>
      </c>
      <c r="I3" s="547"/>
      <c r="K3" s="548"/>
      <c r="L3" s="790">
        <v>1339.5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27330.53</v>
      </c>
      <c r="K5" s="766">
        <v>3845.69</v>
      </c>
      <c r="L5" s="723">
        <f>ROUND(K5*$L$3,0)</f>
        <v>5151302</v>
      </c>
      <c r="M5" s="970">
        <f>L5+F5</f>
        <v>5151302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223.54</v>
      </c>
      <c r="F6" s="567">
        <f t="shared" ref="F6:F12" si="0">ROUND(E6*$F$3,0)</f>
        <v>306116</v>
      </c>
      <c r="G6" s="572"/>
      <c r="H6" s="569" t="s">
        <v>13</v>
      </c>
      <c r="I6" s="569" t="s">
        <v>14</v>
      </c>
      <c r="J6" s="766">
        <v>37369.96</v>
      </c>
      <c r="K6" s="766">
        <v>5258.34</v>
      </c>
      <c r="L6" s="723">
        <f t="shared" ref="L6:L11" si="1">ROUND(K6*$L$3,0)</f>
        <v>7043546</v>
      </c>
      <c r="M6" s="970">
        <f t="shared" ref="M6:M13" si="2">L6+F6</f>
        <v>7349662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24548</v>
      </c>
      <c r="E7" s="570">
        <v>3429.69</v>
      </c>
      <c r="F7" s="567">
        <f t="shared" si="0"/>
        <v>4696617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4696617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2462.4299999999998</v>
      </c>
      <c r="L8" s="723">
        <f>ROUND(K8*$L$3,0)</f>
        <v>3298425</v>
      </c>
      <c r="M8" s="970">
        <f t="shared" si="2"/>
        <v>3298425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2044.97</v>
      </c>
      <c r="K9" s="766">
        <v>287.75</v>
      </c>
      <c r="L9" s="723">
        <f t="shared" si="1"/>
        <v>385441</v>
      </c>
      <c r="M9" s="970">
        <f t="shared" si="2"/>
        <v>385441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10916.03</v>
      </c>
      <c r="E10" s="570">
        <v>1525.12</v>
      </c>
      <c r="F10" s="567">
        <f t="shared" si="0"/>
        <v>2088499</v>
      </c>
      <c r="G10" s="575"/>
      <c r="H10" s="569" t="s">
        <v>21</v>
      </c>
      <c r="I10" s="569"/>
      <c r="J10" s="766">
        <v>201312.28</v>
      </c>
      <c r="K10" s="766">
        <v>28377.71</v>
      </c>
      <c r="L10" s="723">
        <f t="shared" si="1"/>
        <v>38011943</v>
      </c>
      <c r="M10" s="970">
        <f t="shared" si="2"/>
        <v>40100442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1369.3999713201638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>
        <v>128.32</v>
      </c>
      <c r="E12" s="570">
        <v>17.93</v>
      </c>
      <c r="F12" s="567">
        <f t="shared" si="0"/>
        <v>24553</v>
      </c>
      <c r="G12" s="582">
        <f>E13+Q13+AB13</f>
        <v>5160.42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24553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36935.71</v>
      </c>
      <c r="E13" s="585">
        <f>SUM(E5:E11)-E12</f>
        <v>5160.42</v>
      </c>
      <c r="F13" s="950">
        <f>SUM(F5:F11)-F12</f>
        <v>7066679</v>
      </c>
      <c r="G13" s="588">
        <f>F13+R13+AC13</f>
        <v>7066679</v>
      </c>
      <c r="H13" s="948" t="s">
        <v>22</v>
      </c>
      <c r="I13" s="949"/>
      <c r="J13" s="585">
        <f>SUM(J5:J11)-J12</f>
        <v>285557.74</v>
      </c>
      <c r="K13" s="585">
        <f>SUM(K5:K11)-K12</f>
        <v>40231.919999999998</v>
      </c>
      <c r="L13" s="950">
        <f>SUM(L5:L11)-L12</f>
        <v>53890657</v>
      </c>
      <c r="M13" s="970">
        <f t="shared" si="2"/>
        <v>60957336</v>
      </c>
      <c r="N13" s="952"/>
      <c r="O13" s="953"/>
      <c r="P13" s="853"/>
      <c r="Q13" s="853"/>
      <c r="R13" s="853"/>
      <c r="S13" s="954"/>
      <c r="U13" s="930"/>
      <c r="X13" s="955">
        <f>F13+R13</f>
        <v>7066679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35464.03</v>
      </c>
      <c r="E14" s="816">
        <f>SUM(E7:E10)</f>
        <v>4954.8099999999995</v>
      </c>
      <c r="F14" s="816">
        <f>SUM(F7:F10)</f>
        <v>6785116</v>
      </c>
      <c r="G14" s="594"/>
      <c r="J14" s="1010">
        <f>J13+D13</f>
        <v>322493.45</v>
      </c>
      <c r="K14" s="1010">
        <f>K13+E13</f>
        <v>45392.34</v>
      </c>
      <c r="L14" s="985">
        <f>L13+F13</f>
        <v>60957336</v>
      </c>
      <c r="M14" s="945">
        <f>M16-E12</f>
        <v>45392.334901914553</v>
      </c>
      <c r="O14" s="595"/>
      <c r="P14" s="924">
        <f>P13+D13+J13</f>
        <v>322493.45</v>
      </c>
      <c r="Q14" s="924">
        <f>Q13+E13+K13</f>
        <v>45392.34</v>
      </c>
      <c r="R14" s="925">
        <f>R13+F13+L13</f>
        <v>60957336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SUBTOTAL(9,K19:K122)</f>
        <v>322621.77000000008</v>
      </c>
      <c r="L16" s="137"/>
      <c r="M16" s="724">
        <f>SUBTOTAL(9,M19:M122)</f>
        <v>45410.264901914554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986" t="s">
        <v>1071</v>
      </c>
    </row>
    <row r="19" spans="1:29" ht="11.25" customHeight="1">
      <c r="B19" s="729">
        <v>45535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36859.320000000116</v>
      </c>
      <c r="O19" s="988">
        <v>5160.4192225511024</v>
      </c>
      <c r="P19" s="989"/>
      <c r="Q19" s="732"/>
      <c r="R19" s="737"/>
      <c r="S19" s="926">
        <v>5160.42</v>
      </c>
    </row>
    <row r="20" spans="1:29" s="645" customFormat="1" ht="11.25" customHeight="1">
      <c r="A20" s="614"/>
      <c r="B20" s="775">
        <v>45548</v>
      </c>
      <c r="C20" s="1001" t="s">
        <v>1097</v>
      </c>
      <c r="D20" s="1001"/>
      <c r="E20" s="995"/>
      <c r="F20" s="778"/>
      <c r="G20" s="778"/>
      <c r="H20" s="979">
        <v>347089.01</v>
      </c>
      <c r="I20" s="978"/>
      <c r="J20" s="979">
        <v>48890</v>
      </c>
      <c r="K20" s="996"/>
      <c r="L20" s="781"/>
      <c r="M20" s="990"/>
      <c r="N20" s="991">
        <f>N19+H20-K20</f>
        <v>383948.33000000013</v>
      </c>
      <c r="O20" s="1011">
        <f>O19+J20-M20</f>
        <v>54050.4192225511</v>
      </c>
      <c r="P20" s="1008" t="s">
        <v>1352</v>
      </c>
      <c r="Q20" s="785"/>
      <c r="R20" s="785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45548</v>
      </c>
      <c r="C21" s="1001" t="s">
        <v>445</v>
      </c>
      <c r="D21" s="1001"/>
      <c r="E21" s="995">
        <v>1</v>
      </c>
      <c r="F21" s="778" t="s">
        <v>21</v>
      </c>
      <c r="G21" s="778"/>
      <c r="H21" s="787"/>
      <c r="I21" s="779"/>
      <c r="J21" s="779"/>
      <c r="K21" s="996"/>
      <c r="L21" s="781"/>
      <c r="M21" s="993">
        <v>51</v>
      </c>
      <c r="N21" s="991">
        <f t="shared" ref="N21:N85" si="3">N20+H21-K21</f>
        <v>383948.33000000013</v>
      </c>
      <c r="O21" s="1011">
        <f>O20+J21-M21</f>
        <v>53999.4192225511</v>
      </c>
      <c r="P21" s="1008" t="s">
        <v>1372</v>
      </c>
      <c r="Q21" s="785"/>
      <c r="R21" s="785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45548</v>
      </c>
      <c r="C22" s="997" t="s">
        <v>1355</v>
      </c>
      <c r="D22" s="1002"/>
      <c r="E22" s="998">
        <v>2</v>
      </c>
      <c r="F22" s="640" t="s">
        <v>105</v>
      </c>
      <c r="G22" s="640" t="s">
        <v>1131</v>
      </c>
      <c r="H22" s="640"/>
      <c r="I22" s="640"/>
      <c r="J22" s="640"/>
      <c r="K22" s="999">
        <v>24548</v>
      </c>
      <c r="L22" s="612">
        <f>'통장내역(환율표)'!$D$208</f>
        <v>7.1574999999999998</v>
      </c>
      <c r="M22" s="990">
        <f t="shared" ref="M22:M85" si="4">K22/L22</f>
        <v>3429.6891372685996</v>
      </c>
      <c r="N22" s="1009">
        <f t="shared" si="3"/>
        <v>359400.33000000013</v>
      </c>
      <c r="O22" s="1009">
        <f t="shared" ref="O22:O85" si="5">O21+J22-M22</f>
        <v>50569.730085282499</v>
      </c>
      <c r="P22" s="992" t="s">
        <v>1352</v>
      </c>
      <c r="Q22" s="713"/>
      <c r="R22" s="713"/>
      <c r="S22" s="963">
        <f>S19-M22+J22</f>
        <v>1730.7308627314005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45548</v>
      </c>
      <c r="C23" s="997" t="s">
        <v>445</v>
      </c>
      <c r="D23" s="1002"/>
      <c r="E23" s="998">
        <v>3</v>
      </c>
      <c r="F23" s="640" t="s">
        <v>1365</v>
      </c>
      <c r="G23" s="640"/>
      <c r="H23" s="640"/>
      <c r="I23" s="640"/>
      <c r="J23" s="640"/>
      <c r="K23" s="999">
        <v>7.2</v>
      </c>
      <c r="L23" s="612">
        <f>'통장내역(환율표)'!$D$208</f>
        <v>7.1574999999999998</v>
      </c>
      <c r="M23" s="990">
        <f t="shared" si="4"/>
        <v>1.0059378274537198</v>
      </c>
      <c r="N23" s="1009">
        <f t="shared" si="3"/>
        <v>359393.13000000012</v>
      </c>
      <c r="O23" s="1009">
        <f t="shared" si="5"/>
        <v>50568.724147455046</v>
      </c>
      <c r="P23" s="992" t="s">
        <v>1352</v>
      </c>
      <c r="Q23" s="713"/>
      <c r="R23" s="713"/>
      <c r="S23" s="963">
        <f>S22-M23+J23</f>
        <v>1729.7249249039469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45548</v>
      </c>
      <c r="C24" s="997" t="s">
        <v>1291</v>
      </c>
      <c r="D24" s="1002"/>
      <c r="E24" s="998">
        <v>4</v>
      </c>
      <c r="F24" s="640" t="s">
        <v>1062</v>
      </c>
      <c r="G24" s="640" t="s">
        <v>1063</v>
      </c>
      <c r="H24" s="640"/>
      <c r="I24" s="640"/>
      <c r="J24" s="640"/>
      <c r="K24" s="999">
        <v>1600</v>
      </c>
      <c r="L24" s="612">
        <f>'통장내역(환율표)'!$D$208</f>
        <v>7.1574999999999998</v>
      </c>
      <c r="M24" s="990">
        <f t="shared" si="4"/>
        <v>223.54173943415998</v>
      </c>
      <c r="N24" s="1009">
        <f t="shared" si="3"/>
        <v>357793.13000000012</v>
      </c>
      <c r="O24" s="1009">
        <f t="shared" si="5"/>
        <v>50345.18240802089</v>
      </c>
      <c r="P24" s="992" t="s">
        <v>1352</v>
      </c>
      <c r="Q24" s="713"/>
      <c r="R24" s="713"/>
      <c r="S24" s="963">
        <f t="shared" ref="S24:S31" si="6">S23-M24+J24</f>
        <v>1506.1831854697868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45548</v>
      </c>
      <c r="C25" s="997" t="s">
        <v>445</v>
      </c>
      <c r="D25" s="1002"/>
      <c r="E25" s="998">
        <v>5</v>
      </c>
      <c r="F25" s="640" t="s">
        <v>1365</v>
      </c>
      <c r="G25" s="640"/>
      <c r="H25" s="640"/>
      <c r="I25" s="640"/>
      <c r="J25" s="640"/>
      <c r="K25" s="999">
        <v>3.6</v>
      </c>
      <c r="L25" s="612">
        <f>'통장내역(환율표)'!$D$208</f>
        <v>7.1574999999999998</v>
      </c>
      <c r="M25" s="990">
        <f t="shared" si="4"/>
        <v>0.50296891372685992</v>
      </c>
      <c r="N25" s="1009">
        <f t="shared" si="3"/>
        <v>357789.53000000014</v>
      </c>
      <c r="O25" s="1009">
        <f t="shared" si="5"/>
        <v>50344.67943910716</v>
      </c>
      <c r="P25" s="992" t="s">
        <v>1352</v>
      </c>
      <c r="Q25" s="713"/>
      <c r="R25" s="713"/>
      <c r="S25" s="963">
        <f t="shared" si="6"/>
        <v>1505.68021655606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45556</v>
      </c>
      <c r="C26" s="997" t="s">
        <v>1363</v>
      </c>
      <c r="D26" s="1003"/>
      <c r="E26" s="1003">
        <v>49</v>
      </c>
      <c r="F26" s="1003" t="s">
        <v>1366</v>
      </c>
      <c r="G26" s="1003"/>
      <c r="H26" s="1004">
        <v>128.32</v>
      </c>
      <c r="I26" s="612">
        <f>'통장내역(환율표)'!$D$208</f>
        <v>7.1574999999999998</v>
      </c>
      <c r="J26" s="990">
        <f>H26/I26</f>
        <v>17.928047502619631</v>
      </c>
      <c r="K26" s="1005"/>
      <c r="L26" s="612">
        <f>'통장내역(환율표)'!$D$208</f>
        <v>7.1574999999999998</v>
      </c>
      <c r="M26" s="990">
        <f>K26/L26</f>
        <v>0</v>
      </c>
      <c r="N26" s="1009">
        <f>N25+H26-K26</f>
        <v>357917.85000000015</v>
      </c>
      <c r="O26" s="1009">
        <f t="shared" si="5"/>
        <v>50362.607486609777</v>
      </c>
      <c r="P26" s="992" t="s">
        <v>1352</v>
      </c>
      <c r="Q26" s="613"/>
      <c r="R26" s="994"/>
      <c r="S26" s="963">
        <f>S25-M26+J26</f>
        <v>1523.6082640586797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45558</v>
      </c>
      <c r="C27" s="997" t="s">
        <v>892</v>
      </c>
      <c r="D27" s="1002"/>
      <c r="E27" s="998">
        <v>6</v>
      </c>
      <c r="F27" s="640" t="s">
        <v>1365</v>
      </c>
      <c r="G27" s="640"/>
      <c r="H27" s="640"/>
      <c r="I27" s="640"/>
      <c r="J27" s="640"/>
      <c r="K27" s="999">
        <f>L27*M27</f>
        <v>10905.226149999999</v>
      </c>
      <c r="L27" s="612">
        <f>'통장내역(환율표)'!$D$208</f>
        <v>7.1574999999999998</v>
      </c>
      <c r="M27" s="990">
        <v>1523.6082640586797</v>
      </c>
      <c r="N27" s="1009">
        <f>N26+H27-K27</f>
        <v>347012.62385000015</v>
      </c>
      <c r="O27" s="1009">
        <f t="shared" si="5"/>
        <v>48838.999222551094</v>
      </c>
      <c r="P27" s="992" t="s">
        <v>1352</v>
      </c>
      <c r="Q27" s="713"/>
      <c r="R27" s="713"/>
      <c r="S27" s="963">
        <f>S26-M27+J27</f>
        <v>0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45558</v>
      </c>
      <c r="C28" s="997" t="s">
        <v>892</v>
      </c>
      <c r="D28" s="1002"/>
      <c r="E28" s="998">
        <v>6</v>
      </c>
      <c r="F28" s="640" t="s">
        <v>1365</v>
      </c>
      <c r="G28" s="640"/>
      <c r="H28" s="640"/>
      <c r="I28" s="640"/>
      <c r="J28" s="640"/>
      <c r="K28" s="999">
        <f>16000-K27</f>
        <v>5094.7738500000014</v>
      </c>
      <c r="L28" s="612">
        <f>'통장내역(환율표)'!$D$215</f>
        <v>7.1068000982821111</v>
      </c>
      <c r="M28" s="993">
        <f t="shared" si="4"/>
        <v>716.88717559841507</v>
      </c>
      <c r="N28" s="1009">
        <f t="shared" si="3"/>
        <v>341917.85000000015</v>
      </c>
      <c r="O28" s="1009">
        <f t="shared" si="5"/>
        <v>48122.11204695268</v>
      </c>
      <c r="P28" s="992" t="s">
        <v>1361</v>
      </c>
      <c r="Q28" s="713"/>
      <c r="R28" s="713"/>
      <c r="S28" s="963">
        <f>48839-M28</f>
        <v>48122.112824401585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45558</v>
      </c>
      <c r="C29" s="997" t="s">
        <v>947</v>
      </c>
      <c r="D29" s="1002"/>
      <c r="E29" s="998">
        <v>6</v>
      </c>
      <c r="F29" s="640" t="s">
        <v>1365</v>
      </c>
      <c r="G29" s="640"/>
      <c r="H29" s="640"/>
      <c r="I29" s="640"/>
      <c r="J29" s="640"/>
      <c r="K29" s="999">
        <v>24000</v>
      </c>
      <c r="L29" s="612">
        <f>'통장내역(환율표)'!$D$215</f>
        <v>7.1068000982821111</v>
      </c>
      <c r="M29" s="993">
        <f t="shared" si="4"/>
        <v>3377.0472882445915</v>
      </c>
      <c r="N29" s="1009">
        <f t="shared" si="3"/>
        <v>317917.85000000015</v>
      </c>
      <c r="O29" s="1009">
        <f t="shared" si="5"/>
        <v>44745.064758708089</v>
      </c>
      <c r="P29" s="992" t="s">
        <v>1361</v>
      </c>
      <c r="Q29" s="713"/>
      <c r="R29" s="713"/>
      <c r="S29" s="963">
        <f>S28-M29+J29</f>
        <v>44745.065536156995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45558</v>
      </c>
      <c r="C30" s="997" t="s">
        <v>894</v>
      </c>
      <c r="D30" s="1002"/>
      <c r="E30" s="998">
        <v>6</v>
      </c>
      <c r="F30" s="640" t="s">
        <v>1365</v>
      </c>
      <c r="G30" s="640"/>
      <c r="H30" s="640"/>
      <c r="I30" s="640"/>
      <c r="J30" s="640"/>
      <c r="K30" s="999">
        <v>5145.1900000000005</v>
      </c>
      <c r="L30" s="612">
        <f>'통장내역(환율표)'!$D$215</f>
        <v>7.1068000982821111</v>
      </c>
      <c r="M30" s="993">
        <f t="shared" si="4"/>
        <v>723.98124737513297</v>
      </c>
      <c r="N30" s="1009">
        <f t="shared" si="3"/>
        <v>312772.66000000015</v>
      </c>
      <c r="O30" s="1009">
        <f t="shared" si="5"/>
        <v>44021.083511332959</v>
      </c>
      <c r="P30" s="992" t="s">
        <v>1361</v>
      </c>
      <c r="Q30" s="713"/>
      <c r="R30" s="713"/>
      <c r="S30" s="963">
        <f t="shared" si="6"/>
        <v>44021.084288781865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45558</v>
      </c>
      <c r="C31" s="997" t="s">
        <v>895</v>
      </c>
      <c r="D31" s="1002"/>
      <c r="E31" s="998">
        <v>6</v>
      </c>
      <c r="F31" s="640" t="s">
        <v>1365</v>
      </c>
      <c r="G31" s="640"/>
      <c r="H31" s="640"/>
      <c r="I31" s="640"/>
      <c r="J31" s="640"/>
      <c r="K31" s="999">
        <v>6689.1999999999971</v>
      </c>
      <c r="L31" s="612">
        <f>'통장내역(환율표)'!$D$215</f>
        <v>7.1068000982821111</v>
      </c>
      <c r="M31" s="993">
        <f t="shared" si="4"/>
        <v>941.23936335523797</v>
      </c>
      <c r="N31" s="1009">
        <f t="shared" si="3"/>
        <v>306083.46000000014</v>
      </c>
      <c r="O31" s="1009">
        <f t="shared" si="5"/>
        <v>43079.844147977725</v>
      </c>
      <c r="P31" s="992" t="s">
        <v>1361</v>
      </c>
      <c r="Q31" s="713"/>
      <c r="R31" s="713"/>
      <c r="S31" s="963">
        <f t="shared" si="6"/>
        <v>43079.844925426631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45558</v>
      </c>
      <c r="C32" s="997" t="s">
        <v>899</v>
      </c>
      <c r="D32" s="1002"/>
      <c r="E32" s="998">
        <v>6</v>
      </c>
      <c r="F32" s="640" t="s">
        <v>1365</v>
      </c>
      <c r="G32" s="640"/>
      <c r="H32" s="640"/>
      <c r="I32" s="640"/>
      <c r="J32" s="640"/>
      <c r="K32" s="999">
        <v>300</v>
      </c>
      <c r="L32" s="612">
        <f>'통장내역(환율표)'!$D$215</f>
        <v>7.1068000982821111</v>
      </c>
      <c r="M32" s="993">
        <f t="shared" si="4"/>
        <v>42.213091103057394</v>
      </c>
      <c r="N32" s="1009">
        <f t="shared" si="3"/>
        <v>305783.46000000014</v>
      </c>
      <c r="O32" s="1009">
        <f t="shared" si="5"/>
        <v>43037.63105687467</v>
      </c>
      <c r="P32" s="992" t="s">
        <v>1361</v>
      </c>
      <c r="Q32" s="713"/>
      <c r="R32" s="713"/>
      <c r="S32" s="963">
        <f t="shared" ref="S32:S88" si="7">S31-M32+J32</f>
        <v>43037.631834323576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45558</v>
      </c>
      <c r="C33" s="997" t="s">
        <v>892</v>
      </c>
      <c r="D33" s="1002"/>
      <c r="E33" s="998">
        <v>6</v>
      </c>
      <c r="F33" s="640" t="s">
        <v>1365</v>
      </c>
      <c r="G33" s="640"/>
      <c r="H33" s="640"/>
      <c r="I33" s="640"/>
      <c r="J33" s="640"/>
      <c r="K33" s="999">
        <v>15000</v>
      </c>
      <c r="L33" s="612">
        <f>'통장내역(환율표)'!$D$215</f>
        <v>7.1068000982821111</v>
      </c>
      <c r="M33" s="993">
        <f t="shared" si="4"/>
        <v>2110.6545551528698</v>
      </c>
      <c r="N33" s="1009">
        <f t="shared" si="3"/>
        <v>290783.46000000014</v>
      </c>
      <c r="O33" s="1009">
        <f t="shared" si="5"/>
        <v>40926.976501721801</v>
      </c>
      <c r="P33" s="992" t="s">
        <v>1361</v>
      </c>
      <c r="Q33" s="713"/>
      <c r="R33" s="713"/>
      <c r="S33" s="963">
        <f t="shared" si="7"/>
        <v>40926.977279170707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45558</v>
      </c>
      <c r="C34" s="997" t="s">
        <v>947</v>
      </c>
      <c r="D34" s="1002"/>
      <c r="E34" s="998">
        <v>6</v>
      </c>
      <c r="F34" s="640" t="s">
        <v>1365</v>
      </c>
      <c r="G34" s="640"/>
      <c r="H34" s="640"/>
      <c r="I34" s="640"/>
      <c r="J34" s="640"/>
      <c r="K34" s="999">
        <v>22000</v>
      </c>
      <c r="L34" s="612">
        <f>'통장내역(환율표)'!$D$215</f>
        <v>7.1068000982821111</v>
      </c>
      <c r="M34" s="993">
        <f t="shared" si="4"/>
        <v>3095.6266808908754</v>
      </c>
      <c r="N34" s="1009">
        <f t="shared" si="3"/>
        <v>268783.46000000014</v>
      </c>
      <c r="O34" s="1009">
        <f t="shared" si="5"/>
        <v>37831.349820830925</v>
      </c>
      <c r="P34" s="992" t="s">
        <v>1361</v>
      </c>
      <c r="Q34" s="713"/>
      <c r="R34" s="713"/>
      <c r="S34" s="963">
        <f t="shared" si="7"/>
        <v>37831.350598279831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45558</v>
      </c>
      <c r="C35" s="997" t="s">
        <v>894</v>
      </c>
      <c r="D35" s="1002"/>
      <c r="E35" s="998">
        <v>6</v>
      </c>
      <c r="F35" s="640" t="s">
        <v>1365</v>
      </c>
      <c r="G35" s="640"/>
      <c r="H35" s="640"/>
      <c r="I35" s="640"/>
      <c r="J35" s="640"/>
      <c r="K35" s="999">
        <v>8576.1899999999987</v>
      </c>
      <c r="L35" s="612">
        <f>'통장내역(환율표)'!$D$215</f>
        <v>7.1068000982821111</v>
      </c>
      <c r="M35" s="993">
        <f t="shared" si="4"/>
        <v>1206.7582992904324</v>
      </c>
      <c r="N35" s="1009">
        <f t="shared" si="3"/>
        <v>260207.27000000014</v>
      </c>
      <c r="O35" s="1009">
        <f t="shared" si="5"/>
        <v>36624.591521540489</v>
      </c>
      <c r="P35" s="992" t="s">
        <v>1361</v>
      </c>
      <c r="Q35" s="713"/>
      <c r="R35" s="713"/>
      <c r="S35" s="963">
        <f t="shared" si="7"/>
        <v>36624.592298989395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45558</v>
      </c>
      <c r="C36" s="997" t="s">
        <v>895</v>
      </c>
      <c r="D36" s="1002"/>
      <c r="E36" s="998">
        <v>6</v>
      </c>
      <c r="F36" s="640" t="s">
        <v>1365</v>
      </c>
      <c r="G36" s="640"/>
      <c r="H36" s="640"/>
      <c r="I36" s="640"/>
      <c r="J36" s="640"/>
      <c r="K36" s="999">
        <v>5734</v>
      </c>
      <c r="L36" s="612">
        <f>'통장내역(환율표)'!$D$215</f>
        <v>7.1068000982821111</v>
      </c>
      <c r="M36" s="993">
        <f t="shared" si="4"/>
        <v>806.83288128310369</v>
      </c>
      <c r="N36" s="1009">
        <f t="shared" si="3"/>
        <v>254473.27000000014</v>
      </c>
      <c r="O36" s="1009">
        <f t="shared" si="5"/>
        <v>35817.758640257387</v>
      </c>
      <c r="P36" s="992" t="s">
        <v>1361</v>
      </c>
      <c r="Q36" s="713"/>
      <c r="R36" s="713"/>
      <c r="S36" s="963">
        <f t="shared" si="7"/>
        <v>35817.759417706293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45558</v>
      </c>
      <c r="C37" s="997" t="s">
        <v>899</v>
      </c>
      <c r="D37" s="1002"/>
      <c r="E37" s="998">
        <v>6</v>
      </c>
      <c r="F37" s="640" t="s">
        <v>1365</v>
      </c>
      <c r="G37" s="640"/>
      <c r="H37" s="640"/>
      <c r="I37" s="640"/>
      <c r="J37" s="640"/>
      <c r="K37" s="999">
        <v>300</v>
      </c>
      <c r="L37" s="612">
        <f>'통장내역(환율표)'!$D$215</f>
        <v>7.1068000982821111</v>
      </c>
      <c r="M37" s="993">
        <f t="shared" si="4"/>
        <v>42.213091103057394</v>
      </c>
      <c r="N37" s="1009">
        <f t="shared" si="3"/>
        <v>254173.27000000014</v>
      </c>
      <c r="O37" s="1009">
        <f t="shared" si="5"/>
        <v>35775.545549154333</v>
      </c>
      <c r="P37" s="992" t="s">
        <v>1361</v>
      </c>
      <c r="Q37" s="713"/>
      <c r="R37" s="713"/>
      <c r="S37" s="963">
        <f t="shared" si="7"/>
        <v>35775.546326603238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45558</v>
      </c>
      <c r="C38" s="997" t="s">
        <v>898</v>
      </c>
      <c r="D38" s="1002"/>
      <c r="E38" s="998">
        <v>6</v>
      </c>
      <c r="F38" s="640" t="s">
        <v>1365</v>
      </c>
      <c r="G38" s="640"/>
      <c r="H38" s="640"/>
      <c r="I38" s="640"/>
      <c r="J38" s="640"/>
      <c r="K38" s="999">
        <v>25750</v>
      </c>
      <c r="L38" s="612">
        <f>'통장내역(환율표)'!$D$215</f>
        <v>7.1068000982821111</v>
      </c>
      <c r="M38" s="993">
        <f t="shared" si="4"/>
        <v>3623.290319679093</v>
      </c>
      <c r="N38" s="1009">
        <f t="shared" si="3"/>
        <v>228423.27000000014</v>
      </c>
      <c r="O38" s="1009">
        <f t="shared" si="5"/>
        <v>32152.255229475239</v>
      </c>
      <c r="P38" s="992" t="s">
        <v>1361</v>
      </c>
      <c r="Q38" s="713"/>
      <c r="R38" s="713"/>
      <c r="S38" s="963">
        <f t="shared" si="7"/>
        <v>32152.256006924144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45558</v>
      </c>
      <c r="C39" s="997" t="s">
        <v>1118</v>
      </c>
      <c r="D39" s="1002"/>
      <c r="E39" s="998">
        <v>6</v>
      </c>
      <c r="F39" s="640" t="s">
        <v>1365</v>
      </c>
      <c r="G39" s="640"/>
      <c r="H39" s="640"/>
      <c r="I39" s="640"/>
      <c r="J39" s="640"/>
      <c r="K39" s="999">
        <v>2500</v>
      </c>
      <c r="L39" s="612">
        <f>'통장내역(환율표)'!$D$215</f>
        <v>7.1068000982821111</v>
      </c>
      <c r="M39" s="993">
        <f t="shared" si="4"/>
        <v>351.77575919214496</v>
      </c>
      <c r="N39" s="1009">
        <f t="shared" si="3"/>
        <v>225923.27000000014</v>
      </c>
      <c r="O39" s="1009">
        <f t="shared" si="5"/>
        <v>31800.479470283095</v>
      </c>
      <c r="P39" s="992" t="s">
        <v>1361</v>
      </c>
      <c r="Q39" s="713"/>
      <c r="R39" s="713"/>
      <c r="S39" s="963">
        <f t="shared" si="7"/>
        <v>31800.480247732001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45558</v>
      </c>
      <c r="C40" s="997" t="s">
        <v>1364</v>
      </c>
      <c r="D40" s="1002"/>
      <c r="E40" s="998">
        <v>6</v>
      </c>
      <c r="F40" s="640" t="s">
        <v>1365</v>
      </c>
      <c r="G40" s="640"/>
      <c r="H40" s="640"/>
      <c r="I40" s="640"/>
      <c r="J40" s="640"/>
      <c r="K40" s="999">
        <v>7173.94</v>
      </c>
      <c r="L40" s="612">
        <f>'통장내역(환율표)'!$D$215</f>
        <v>7.1068000982821111</v>
      </c>
      <c r="M40" s="993">
        <f t="shared" si="4"/>
        <v>1009.4472759595585</v>
      </c>
      <c r="N40" s="1009">
        <f t="shared" si="3"/>
        <v>218749.33000000013</v>
      </c>
      <c r="O40" s="1009">
        <f t="shared" si="5"/>
        <v>30791.032194323536</v>
      </c>
      <c r="P40" s="992" t="s">
        <v>1361</v>
      </c>
      <c r="Q40" s="713"/>
      <c r="R40" s="713"/>
      <c r="S40" s="963">
        <f t="shared" si="7"/>
        <v>30791.032971772442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45558</v>
      </c>
      <c r="C41" s="997" t="s">
        <v>899</v>
      </c>
      <c r="D41" s="1002"/>
      <c r="E41" s="998">
        <v>6</v>
      </c>
      <c r="F41" s="640" t="s">
        <v>1365</v>
      </c>
      <c r="G41" s="640"/>
      <c r="H41" s="640"/>
      <c r="I41" s="640"/>
      <c r="J41" s="640"/>
      <c r="K41" s="999">
        <v>300</v>
      </c>
      <c r="L41" s="612">
        <f>'통장내역(환율표)'!$D$215</f>
        <v>7.1068000982821111</v>
      </c>
      <c r="M41" s="993">
        <f t="shared" si="4"/>
        <v>42.213091103057394</v>
      </c>
      <c r="N41" s="1009">
        <f t="shared" si="3"/>
        <v>218449.33000000013</v>
      </c>
      <c r="O41" s="1009">
        <f t="shared" si="5"/>
        <v>30748.819103220478</v>
      </c>
      <c r="P41" s="992" t="s">
        <v>1361</v>
      </c>
      <c r="Q41" s="713"/>
      <c r="R41" s="713"/>
      <c r="S41" s="963">
        <f t="shared" si="7"/>
        <v>30748.819880669384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45558</v>
      </c>
      <c r="C42" s="997" t="s">
        <v>992</v>
      </c>
      <c r="D42" s="1002"/>
      <c r="E42" s="998">
        <v>6</v>
      </c>
      <c r="F42" s="640" t="s">
        <v>1365</v>
      </c>
      <c r="G42" s="640"/>
      <c r="H42" s="640"/>
      <c r="I42" s="640"/>
      <c r="J42" s="640"/>
      <c r="K42" s="999">
        <v>1200</v>
      </c>
      <c r="L42" s="612">
        <f>'통장내역(환율표)'!$D$215</f>
        <v>7.1068000982821111</v>
      </c>
      <c r="M42" s="993">
        <f t="shared" si="4"/>
        <v>168.85236441222958</v>
      </c>
      <c r="N42" s="1009">
        <f t="shared" si="3"/>
        <v>217249.33000000013</v>
      </c>
      <c r="O42" s="1009">
        <f t="shared" si="5"/>
        <v>30579.966738808249</v>
      </c>
      <c r="P42" s="992" t="s">
        <v>1361</v>
      </c>
      <c r="Q42" s="713"/>
      <c r="R42" s="713"/>
      <c r="S42" s="963">
        <f t="shared" si="7"/>
        <v>30579.967516257155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45558</v>
      </c>
      <c r="C43" s="997" t="s">
        <v>898</v>
      </c>
      <c r="D43" s="1002"/>
      <c r="E43" s="998">
        <v>6</v>
      </c>
      <c r="F43" s="640" t="s">
        <v>1365</v>
      </c>
      <c r="G43" s="640"/>
      <c r="H43" s="640"/>
      <c r="I43" s="640"/>
      <c r="J43" s="640"/>
      <c r="K43" s="999">
        <v>13390</v>
      </c>
      <c r="L43" s="612">
        <f>'통장내역(환율표)'!$D$215</f>
        <v>7.1068000982821111</v>
      </c>
      <c r="M43" s="993">
        <f t="shared" si="4"/>
        <v>1884.1109662331285</v>
      </c>
      <c r="N43" s="1009">
        <f t="shared" si="3"/>
        <v>203859.33000000013</v>
      </c>
      <c r="O43" s="1009">
        <f t="shared" si="5"/>
        <v>28695.85577257512</v>
      </c>
      <c r="P43" s="992" t="s">
        <v>1361</v>
      </c>
      <c r="Q43" s="713"/>
      <c r="R43" s="713"/>
      <c r="S43" s="963">
        <f t="shared" si="7"/>
        <v>28695.856550024026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45558</v>
      </c>
      <c r="C44" s="997" t="s">
        <v>1118</v>
      </c>
      <c r="D44" s="1002"/>
      <c r="E44" s="998">
        <v>6</v>
      </c>
      <c r="F44" s="640" t="s">
        <v>1365</v>
      </c>
      <c r="G44" s="640"/>
      <c r="H44" s="640"/>
      <c r="I44" s="640"/>
      <c r="J44" s="640"/>
      <c r="K44" s="999">
        <v>2500</v>
      </c>
      <c r="L44" s="612">
        <f>'통장내역(환율표)'!$D$215</f>
        <v>7.1068000982821111</v>
      </c>
      <c r="M44" s="993">
        <f t="shared" si="4"/>
        <v>351.77575919214496</v>
      </c>
      <c r="N44" s="1009">
        <f t="shared" si="3"/>
        <v>201359.33000000013</v>
      </c>
      <c r="O44" s="1009">
        <f t="shared" si="5"/>
        <v>28344.080013382976</v>
      </c>
      <c r="P44" s="992" t="s">
        <v>1361</v>
      </c>
      <c r="Q44" s="713"/>
      <c r="R44" s="713"/>
      <c r="S44" s="963">
        <f t="shared" si="7"/>
        <v>28344.080790831882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45558</v>
      </c>
      <c r="C45" s="997" t="s">
        <v>1364</v>
      </c>
      <c r="D45" s="1002"/>
      <c r="E45" s="998">
        <v>6</v>
      </c>
      <c r="F45" s="640" t="s">
        <v>1365</v>
      </c>
      <c r="G45" s="640"/>
      <c r="H45" s="640"/>
      <c r="I45" s="640"/>
      <c r="J45" s="640"/>
      <c r="K45" s="999">
        <v>3147.67</v>
      </c>
      <c r="L45" s="612">
        <f>'통장내역(환율표)'!$D$215</f>
        <v>7.1068000982821111</v>
      </c>
      <c r="M45" s="993">
        <f t="shared" si="4"/>
        <v>442.90960157453554</v>
      </c>
      <c r="N45" s="1009">
        <f t="shared" si="3"/>
        <v>198211.66000000012</v>
      </c>
      <c r="O45" s="1009">
        <f t="shared" si="5"/>
        <v>27901.170411808442</v>
      </c>
      <c r="P45" s="992" t="s">
        <v>1361</v>
      </c>
      <c r="Q45" s="713"/>
      <c r="R45" s="713"/>
      <c r="S45" s="963">
        <f t="shared" si="7"/>
        <v>27901.171189257348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45558</v>
      </c>
      <c r="C46" s="997" t="s">
        <v>899</v>
      </c>
      <c r="D46" s="1002"/>
      <c r="E46" s="998">
        <v>6</v>
      </c>
      <c r="F46" s="640" t="s">
        <v>1365</v>
      </c>
      <c r="G46" s="640"/>
      <c r="H46" s="640"/>
      <c r="I46" s="640"/>
      <c r="J46" s="640"/>
      <c r="K46" s="999">
        <v>300</v>
      </c>
      <c r="L46" s="612">
        <f>'통장내역(환율표)'!$D$215</f>
        <v>7.1068000982821111</v>
      </c>
      <c r="M46" s="993">
        <f t="shared" si="4"/>
        <v>42.213091103057394</v>
      </c>
      <c r="N46" s="1009">
        <f t="shared" si="3"/>
        <v>197911.66000000012</v>
      </c>
      <c r="O46" s="1009">
        <f t="shared" si="5"/>
        <v>27858.957320705384</v>
      </c>
      <c r="P46" s="992" t="s">
        <v>1361</v>
      </c>
      <c r="Q46" s="713"/>
      <c r="R46" s="713"/>
      <c r="S46" s="963">
        <f t="shared" si="7"/>
        <v>27858.958098154289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45558</v>
      </c>
      <c r="C47" s="997" t="s">
        <v>898</v>
      </c>
      <c r="D47" s="1002"/>
      <c r="E47" s="998">
        <v>6</v>
      </c>
      <c r="F47" s="640" t="s">
        <v>1365</v>
      </c>
      <c r="G47" s="640"/>
      <c r="H47" s="640"/>
      <c r="I47" s="640"/>
      <c r="J47" s="640"/>
      <c r="K47" s="999">
        <v>25750</v>
      </c>
      <c r="L47" s="612">
        <f>'통장내역(환율표)'!$D$215</f>
        <v>7.1068000982821111</v>
      </c>
      <c r="M47" s="993">
        <f t="shared" si="4"/>
        <v>3623.290319679093</v>
      </c>
      <c r="N47" s="1009">
        <f t="shared" si="3"/>
        <v>172161.66000000012</v>
      </c>
      <c r="O47" s="1009">
        <f t="shared" si="5"/>
        <v>24235.66700102629</v>
      </c>
      <c r="P47" s="992" t="s">
        <v>1361</v>
      </c>
      <c r="Q47" s="713"/>
      <c r="R47" s="713"/>
      <c r="S47" s="963">
        <f t="shared" si="7"/>
        <v>24235.667778475196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45558</v>
      </c>
      <c r="C48" s="997" t="s">
        <v>1118</v>
      </c>
      <c r="D48" s="1002"/>
      <c r="E48" s="998">
        <v>6</v>
      </c>
      <c r="F48" s="640" t="s">
        <v>1365</v>
      </c>
      <c r="G48" s="640"/>
      <c r="H48" s="640"/>
      <c r="I48" s="640"/>
      <c r="J48" s="640"/>
      <c r="K48" s="999">
        <v>2500</v>
      </c>
      <c r="L48" s="612">
        <f>'통장내역(환율표)'!$D$215</f>
        <v>7.1068000982821111</v>
      </c>
      <c r="M48" s="993">
        <f t="shared" si="4"/>
        <v>351.77575919214496</v>
      </c>
      <c r="N48" s="1009">
        <f t="shared" si="3"/>
        <v>169661.66000000012</v>
      </c>
      <c r="O48" s="1009">
        <f t="shared" si="5"/>
        <v>23883.891241834146</v>
      </c>
      <c r="P48" s="992" t="s">
        <v>1361</v>
      </c>
      <c r="Q48" s="713"/>
      <c r="R48" s="713"/>
      <c r="S48" s="963">
        <f t="shared" si="7"/>
        <v>23883.892019283052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45558</v>
      </c>
      <c r="C49" s="997" t="s">
        <v>1364</v>
      </c>
      <c r="D49" s="1002"/>
      <c r="E49" s="998">
        <v>6</v>
      </c>
      <c r="F49" s="640" t="s">
        <v>1365</v>
      </c>
      <c r="G49" s="640"/>
      <c r="H49" s="640"/>
      <c r="I49" s="640"/>
      <c r="J49" s="640"/>
      <c r="K49" s="999">
        <v>7173.94</v>
      </c>
      <c r="L49" s="612">
        <f>'통장내역(환율표)'!$D$215</f>
        <v>7.1068000982821111</v>
      </c>
      <c r="M49" s="993">
        <f t="shared" si="4"/>
        <v>1009.4472759595585</v>
      </c>
      <c r="N49" s="1009">
        <f t="shared" si="3"/>
        <v>162487.72000000012</v>
      </c>
      <c r="O49" s="1009">
        <f t="shared" si="5"/>
        <v>22874.443965874587</v>
      </c>
      <c r="P49" s="992" t="s">
        <v>1361</v>
      </c>
      <c r="Q49" s="713"/>
      <c r="R49" s="713"/>
      <c r="S49" s="963">
        <f t="shared" si="7"/>
        <v>22874.444743323493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45558</v>
      </c>
      <c r="C50" s="997" t="s">
        <v>899</v>
      </c>
      <c r="D50" s="1002"/>
      <c r="E50" s="998">
        <v>6</v>
      </c>
      <c r="F50" s="640" t="s">
        <v>1365</v>
      </c>
      <c r="G50" s="640"/>
      <c r="H50" s="640"/>
      <c r="I50" s="640"/>
      <c r="J50" s="640"/>
      <c r="K50" s="999">
        <v>300</v>
      </c>
      <c r="L50" s="612">
        <f>'통장내역(환율표)'!$D$215</f>
        <v>7.1068000982821111</v>
      </c>
      <c r="M50" s="993">
        <f t="shared" si="4"/>
        <v>42.213091103057394</v>
      </c>
      <c r="N50" s="1009">
        <f t="shared" si="3"/>
        <v>162187.72000000012</v>
      </c>
      <c r="O50" s="1009">
        <f t="shared" si="5"/>
        <v>22832.230874771529</v>
      </c>
      <c r="P50" s="992" t="s">
        <v>1361</v>
      </c>
      <c r="Q50" s="713"/>
      <c r="R50" s="713"/>
      <c r="S50" s="963">
        <f t="shared" si="7"/>
        <v>22832.231652220435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45558</v>
      </c>
      <c r="C51" s="997" t="s">
        <v>992</v>
      </c>
      <c r="D51" s="1002"/>
      <c r="E51" s="998">
        <v>6</v>
      </c>
      <c r="F51" s="640" t="s">
        <v>1365</v>
      </c>
      <c r="G51" s="640"/>
      <c r="H51" s="640"/>
      <c r="I51" s="640"/>
      <c r="J51" s="640"/>
      <c r="K51" s="999">
        <v>300</v>
      </c>
      <c r="L51" s="612">
        <f>'통장내역(환율표)'!$D$215</f>
        <v>7.1068000982821111</v>
      </c>
      <c r="M51" s="993">
        <f t="shared" si="4"/>
        <v>42.213091103057394</v>
      </c>
      <c r="N51" s="1009">
        <f t="shared" si="3"/>
        <v>161887.72000000012</v>
      </c>
      <c r="O51" s="1009">
        <f t="shared" si="5"/>
        <v>22790.017783668471</v>
      </c>
      <c r="P51" s="992" t="s">
        <v>1361</v>
      </c>
      <c r="Q51" s="713"/>
      <c r="R51" s="713"/>
      <c r="S51" s="963">
        <f t="shared" si="7"/>
        <v>22790.018561117377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45558</v>
      </c>
      <c r="C52" s="997" t="s">
        <v>445</v>
      </c>
      <c r="D52" s="1002"/>
      <c r="E52" s="998">
        <v>7</v>
      </c>
      <c r="F52" s="640" t="s">
        <v>1365</v>
      </c>
      <c r="G52" s="640"/>
      <c r="H52" s="640"/>
      <c r="I52" s="640"/>
      <c r="J52" s="640"/>
      <c r="K52" s="999">
        <v>12</v>
      </c>
      <c r="L52" s="612">
        <f>'통장내역(환율표)'!$D$215</f>
        <v>7.1068000982821111</v>
      </c>
      <c r="M52" s="993">
        <f t="shared" si="4"/>
        <v>1.6885236441222957</v>
      </c>
      <c r="N52" s="1009">
        <f t="shared" si="3"/>
        <v>161875.72000000012</v>
      </c>
      <c r="O52" s="1009">
        <f t="shared" si="5"/>
        <v>22788.329260024348</v>
      </c>
      <c r="P52" s="992" t="s">
        <v>1361</v>
      </c>
      <c r="Q52" s="713"/>
      <c r="R52" s="713"/>
      <c r="S52" s="963">
        <f t="shared" si="7"/>
        <v>22788.330037473253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45558</v>
      </c>
      <c r="C53" s="1002" t="s">
        <v>306</v>
      </c>
      <c r="D53" s="1002"/>
      <c r="E53" s="998">
        <v>8</v>
      </c>
      <c r="F53" s="640" t="s">
        <v>1365</v>
      </c>
      <c r="G53" s="640"/>
      <c r="H53" s="642"/>
      <c r="I53" s="758"/>
      <c r="J53" s="643"/>
      <c r="K53" s="999">
        <v>1010</v>
      </c>
      <c r="L53" s="612">
        <f>'통장내역(환율표)'!$D$215</f>
        <v>7.1068000982821111</v>
      </c>
      <c r="M53" s="993">
        <f t="shared" si="4"/>
        <v>142.11740671362656</v>
      </c>
      <c r="N53" s="1009">
        <f t="shared" si="3"/>
        <v>160865.72000000012</v>
      </c>
      <c r="O53" s="1009">
        <f t="shared" si="5"/>
        <v>22646.21185331072</v>
      </c>
      <c r="P53" s="992" t="s">
        <v>1361</v>
      </c>
      <c r="Q53" s="713"/>
      <c r="R53" s="713"/>
      <c r="S53" s="963">
        <f t="shared" si="7"/>
        <v>22646.212630759626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45558</v>
      </c>
      <c r="C54" s="997" t="s">
        <v>445</v>
      </c>
      <c r="D54" s="1002"/>
      <c r="E54" s="998">
        <v>9</v>
      </c>
      <c r="F54" s="640" t="s">
        <v>1365</v>
      </c>
      <c r="G54" s="640"/>
      <c r="H54" s="642"/>
      <c r="I54" s="758"/>
      <c r="J54" s="643"/>
      <c r="K54" s="999">
        <v>3.6</v>
      </c>
      <c r="L54" s="612">
        <f>'통장내역(환율표)'!$D$215</f>
        <v>7.1068000982821111</v>
      </c>
      <c r="M54" s="993">
        <f t="shared" si="4"/>
        <v>0.50655709323668874</v>
      </c>
      <c r="N54" s="1009">
        <f t="shared" si="3"/>
        <v>160862.12000000011</v>
      </c>
      <c r="O54" s="1009">
        <f t="shared" si="5"/>
        <v>22645.705296217482</v>
      </c>
      <c r="P54" s="992" t="s">
        <v>1361</v>
      </c>
      <c r="Q54" s="713"/>
      <c r="R54" s="713"/>
      <c r="S54" s="963">
        <f t="shared" si="7"/>
        <v>22645.706073666388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45558</v>
      </c>
      <c r="C55" s="1002" t="s">
        <v>305</v>
      </c>
      <c r="D55" s="1002"/>
      <c r="E55" s="998">
        <v>10</v>
      </c>
      <c r="F55" s="640" t="s">
        <v>105</v>
      </c>
      <c r="G55" s="640" t="s">
        <v>227</v>
      </c>
      <c r="H55" s="642"/>
      <c r="I55" s="758"/>
      <c r="J55" s="643"/>
      <c r="K55" s="999">
        <v>10500</v>
      </c>
      <c r="L55" s="612">
        <f>'통장내역(환율표)'!$D$215</f>
        <v>7.1068000982821111</v>
      </c>
      <c r="M55" s="993">
        <f t="shared" si="4"/>
        <v>1477.4581886070089</v>
      </c>
      <c r="N55" s="1009">
        <f t="shared" si="3"/>
        <v>150362.12000000011</v>
      </c>
      <c r="O55" s="1009">
        <f t="shared" si="5"/>
        <v>21168.247107610474</v>
      </c>
      <c r="P55" s="992" t="s">
        <v>1361</v>
      </c>
      <c r="Q55" s="713"/>
      <c r="R55" s="713"/>
      <c r="S55" s="963">
        <f t="shared" si="7"/>
        <v>21168.24788505938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45558</v>
      </c>
      <c r="C56" s="1002" t="s">
        <v>1116</v>
      </c>
      <c r="D56" s="1002"/>
      <c r="E56" s="998">
        <v>10</v>
      </c>
      <c r="F56" s="640" t="s">
        <v>1365</v>
      </c>
      <c r="G56" s="640"/>
      <c r="H56" s="642"/>
      <c r="I56" s="758"/>
      <c r="J56" s="643"/>
      <c r="K56" s="999">
        <v>6000</v>
      </c>
      <c r="L56" s="612">
        <f>'통장내역(환율표)'!$D$215</f>
        <v>7.1068000982821111</v>
      </c>
      <c r="M56" s="993">
        <f t="shared" si="4"/>
        <v>844.26182206114788</v>
      </c>
      <c r="N56" s="1009">
        <f t="shared" si="3"/>
        <v>144362.12000000011</v>
      </c>
      <c r="O56" s="1009">
        <f t="shared" si="5"/>
        <v>20323.985285549326</v>
      </c>
      <c r="P56" s="992" t="s">
        <v>1361</v>
      </c>
      <c r="Q56" s="713"/>
      <c r="R56" s="713"/>
      <c r="S56" s="963">
        <f t="shared" si="7"/>
        <v>20323.986062998232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45558</v>
      </c>
      <c r="C57" s="1002" t="s">
        <v>1117</v>
      </c>
      <c r="D57" s="1002"/>
      <c r="E57" s="998">
        <v>10</v>
      </c>
      <c r="F57" s="640" t="s">
        <v>1365</v>
      </c>
      <c r="G57" s="640"/>
      <c r="H57" s="642"/>
      <c r="I57" s="758"/>
      <c r="J57" s="643"/>
      <c r="K57" s="999">
        <v>680</v>
      </c>
      <c r="L57" s="612">
        <f>'통장내역(환율표)'!$D$215</f>
        <v>7.1068000982821111</v>
      </c>
      <c r="M57" s="993">
        <f t="shared" si="4"/>
        <v>95.683006500263431</v>
      </c>
      <c r="N57" s="1009">
        <f t="shared" si="3"/>
        <v>143682.12000000011</v>
      </c>
      <c r="O57" s="1009">
        <f t="shared" si="5"/>
        <v>20228.302279049061</v>
      </c>
      <c r="P57" s="992" t="s">
        <v>1361</v>
      </c>
      <c r="Q57" s="713"/>
      <c r="R57" s="713"/>
      <c r="S57" s="963">
        <f t="shared" si="7"/>
        <v>20228.303056497967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45558</v>
      </c>
      <c r="C58" s="1002" t="s">
        <v>305</v>
      </c>
      <c r="D58" s="1002"/>
      <c r="E58" s="998">
        <v>10</v>
      </c>
      <c r="F58" s="640" t="s">
        <v>105</v>
      </c>
      <c r="G58" s="640" t="s">
        <v>227</v>
      </c>
      <c r="H58" s="642"/>
      <c r="I58" s="758"/>
      <c r="J58" s="643"/>
      <c r="K58" s="999">
        <v>7000</v>
      </c>
      <c r="L58" s="612">
        <f>'통장내역(환율표)'!$D$215</f>
        <v>7.1068000982821111</v>
      </c>
      <c r="M58" s="993">
        <f t="shared" si="4"/>
        <v>984.97212573800584</v>
      </c>
      <c r="N58" s="1009">
        <f t="shared" si="3"/>
        <v>136682.12000000011</v>
      </c>
      <c r="O58" s="1009">
        <f t="shared" si="5"/>
        <v>19243.330153311057</v>
      </c>
      <c r="P58" s="992" t="s">
        <v>1361</v>
      </c>
      <c r="Q58" s="713"/>
      <c r="R58" s="713"/>
      <c r="S58" s="963">
        <f t="shared" si="7"/>
        <v>19243.330930759963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45558</v>
      </c>
      <c r="C59" s="1002" t="s">
        <v>1116</v>
      </c>
      <c r="D59" s="1002"/>
      <c r="E59" s="998">
        <v>10</v>
      </c>
      <c r="F59" s="640" t="s">
        <v>1365</v>
      </c>
      <c r="G59" s="640"/>
      <c r="H59" s="642"/>
      <c r="I59" s="758"/>
      <c r="J59" s="643"/>
      <c r="K59" s="999">
        <v>6000</v>
      </c>
      <c r="L59" s="612">
        <f>'통장내역(환율표)'!$D$215</f>
        <v>7.1068000982821111</v>
      </c>
      <c r="M59" s="993">
        <f t="shared" si="4"/>
        <v>844.26182206114788</v>
      </c>
      <c r="N59" s="1009">
        <f t="shared" si="3"/>
        <v>130682.12000000011</v>
      </c>
      <c r="O59" s="1009">
        <f t="shared" si="5"/>
        <v>18399.06833124991</v>
      </c>
      <c r="P59" s="992" t="s">
        <v>1361</v>
      </c>
      <c r="Q59" s="713"/>
      <c r="R59" s="713"/>
      <c r="S59" s="963">
        <f t="shared" si="7"/>
        <v>18399.069108698815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45558</v>
      </c>
      <c r="C60" s="1002" t="s">
        <v>1117</v>
      </c>
      <c r="D60" s="1002"/>
      <c r="E60" s="998">
        <v>10</v>
      </c>
      <c r="F60" s="640" t="s">
        <v>1365</v>
      </c>
      <c r="G60" s="640"/>
      <c r="H60" s="640"/>
      <c r="I60" s="640"/>
      <c r="J60" s="640"/>
      <c r="K60" s="999">
        <v>80</v>
      </c>
      <c r="L60" s="612">
        <f>'통장내역(환율표)'!$D$215</f>
        <v>7.1068000982821111</v>
      </c>
      <c r="M60" s="993">
        <f t="shared" si="4"/>
        <v>11.256824294148638</v>
      </c>
      <c r="N60" s="1009">
        <f t="shared" si="3"/>
        <v>130602.12000000011</v>
      </c>
      <c r="O60" s="1009">
        <f t="shared" si="5"/>
        <v>18387.811506955761</v>
      </c>
      <c r="P60" s="992" t="s">
        <v>1361</v>
      </c>
      <c r="Q60" s="713"/>
      <c r="R60" s="713"/>
      <c r="S60" s="963">
        <f t="shared" si="7"/>
        <v>18387.812284404667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45558</v>
      </c>
      <c r="C61" s="1002" t="s">
        <v>445</v>
      </c>
      <c r="D61" s="1002"/>
      <c r="E61" s="998">
        <v>11</v>
      </c>
      <c r="F61" s="640" t="s">
        <v>1365</v>
      </c>
      <c r="G61" s="640"/>
      <c r="H61" s="640"/>
      <c r="I61" s="640"/>
      <c r="J61" s="640"/>
      <c r="K61" s="999">
        <v>7.2</v>
      </c>
      <c r="L61" s="612">
        <f>'통장내역(환율표)'!$D$215</f>
        <v>7.1068000982821111</v>
      </c>
      <c r="M61" s="993">
        <f t="shared" si="4"/>
        <v>1.0131141864733775</v>
      </c>
      <c r="N61" s="1009">
        <f t="shared" si="3"/>
        <v>130594.92000000011</v>
      </c>
      <c r="O61" s="1009">
        <f t="shared" si="5"/>
        <v>18386.798392769288</v>
      </c>
      <c r="P61" s="992" t="s">
        <v>1361</v>
      </c>
      <c r="Q61" s="713"/>
      <c r="R61" s="713"/>
      <c r="S61" s="963">
        <f t="shared" si="7"/>
        <v>18386.799170218193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45558</v>
      </c>
      <c r="C62" s="997" t="s">
        <v>1007</v>
      </c>
      <c r="D62" s="1002"/>
      <c r="E62" s="998">
        <v>12</v>
      </c>
      <c r="F62" s="640" t="s">
        <v>1062</v>
      </c>
      <c r="G62" s="640" t="s">
        <v>1063</v>
      </c>
      <c r="H62" s="640"/>
      <c r="I62" s="640"/>
      <c r="J62" s="640"/>
      <c r="K62" s="999">
        <v>151</v>
      </c>
      <c r="L62" s="612">
        <f>'통장내역(환율표)'!$D$215</f>
        <v>7.1068000982821111</v>
      </c>
      <c r="M62" s="993">
        <f t="shared" si="4"/>
        <v>21.247255855205555</v>
      </c>
      <c r="N62" s="1009">
        <f t="shared" si="3"/>
        <v>130443.92000000011</v>
      </c>
      <c r="O62" s="1009">
        <f t="shared" si="5"/>
        <v>18365.55113691408</v>
      </c>
      <c r="P62" s="992" t="s">
        <v>1361</v>
      </c>
      <c r="Q62" s="713"/>
      <c r="R62" s="713"/>
      <c r="S62" s="963">
        <f t="shared" si="7"/>
        <v>18365.551914362986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45558</v>
      </c>
      <c r="C63" s="997" t="s">
        <v>1008</v>
      </c>
      <c r="D63" s="1002"/>
      <c r="E63" s="998">
        <v>13</v>
      </c>
      <c r="F63" s="640" t="s">
        <v>1062</v>
      </c>
      <c r="G63" s="640" t="s">
        <v>1063</v>
      </c>
      <c r="H63" s="640"/>
      <c r="I63" s="640"/>
      <c r="J63" s="640"/>
      <c r="K63" s="999">
        <v>2166</v>
      </c>
      <c r="L63" s="612">
        <f>'통장내역(환율표)'!$D$215</f>
        <v>7.1068000982821111</v>
      </c>
      <c r="M63" s="993">
        <f t="shared" si="4"/>
        <v>304.77851776407437</v>
      </c>
      <c r="N63" s="1009">
        <f t="shared" si="3"/>
        <v>128277.92000000011</v>
      </c>
      <c r="O63" s="1009">
        <f t="shared" si="5"/>
        <v>18060.772619150008</v>
      </c>
      <c r="P63" s="992" t="s">
        <v>1361</v>
      </c>
      <c r="Q63" s="713"/>
      <c r="R63" s="713"/>
      <c r="S63" s="963">
        <f t="shared" si="7"/>
        <v>18060.773396598914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45558</v>
      </c>
      <c r="C64" s="997" t="s">
        <v>1006</v>
      </c>
      <c r="D64" s="1002"/>
      <c r="E64" s="998">
        <v>14</v>
      </c>
      <c r="F64" s="640" t="s">
        <v>1062</v>
      </c>
      <c r="G64" s="640" t="s">
        <v>1063</v>
      </c>
      <c r="H64" s="640"/>
      <c r="I64" s="640"/>
      <c r="J64" s="640"/>
      <c r="K64" s="999">
        <v>333</v>
      </c>
      <c r="L64" s="612">
        <f>'통장내역(환율표)'!$D$215</f>
        <v>7.1068000982821111</v>
      </c>
      <c r="M64" s="993">
        <f t="shared" si="4"/>
        <v>46.856531124393705</v>
      </c>
      <c r="N64" s="1009">
        <f t="shared" si="3"/>
        <v>127944.92000000011</v>
      </c>
      <c r="O64" s="1009">
        <f t="shared" si="5"/>
        <v>18013.916088025613</v>
      </c>
      <c r="P64" s="992" t="s">
        <v>1361</v>
      </c>
      <c r="Q64" s="713"/>
      <c r="R64" s="713"/>
      <c r="S64" s="963">
        <f t="shared" si="7"/>
        <v>18013.916865474519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45558</v>
      </c>
      <c r="C65" s="997" t="s">
        <v>250</v>
      </c>
      <c r="D65" s="1002"/>
      <c r="E65" s="998">
        <v>15</v>
      </c>
      <c r="F65" s="640" t="s">
        <v>1365</v>
      </c>
      <c r="G65" s="640"/>
      <c r="H65" s="640"/>
      <c r="I65" s="640"/>
      <c r="J65" s="640"/>
      <c r="K65" s="999">
        <v>3.6</v>
      </c>
      <c r="L65" s="612">
        <f>'통장내역(환율표)'!$D$215</f>
        <v>7.1068000982821111</v>
      </c>
      <c r="M65" s="993">
        <f t="shared" si="4"/>
        <v>0.50655709323668874</v>
      </c>
      <c r="N65" s="1009">
        <f t="shared" si="3"/>
        <v>127941.32000000011</v>
      </c>
      <c r="O65" s="1009">
        <f t="shared" si="5"/>
        <v>18013.409530932375</v>
      </c>
      <c r="P65" s="992" t="s">
        <v>1361</v>
      </c>
      <c r="Q65" s="713"/>
      <c r="R65" s="713"/>
      <c r="S65" s="963">
        <f t="shared" si="7"/>
        <v>18013.410308381281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45558</v>
      </c>
      <c r="C66" s="997" t="s">
        <v>1004</v>
      </c>
      <c r="D66" s="1002"/>
      <c r="E66" s="998">
        <v>16</v>
      </c>
      <c r="F66" s="640" t="s">
        <v>1062</v>
      </c>
      <c r="G66" s="640" t="s">
        <v>1063</v>
      </c>
      <c r="H66" s="640"/>
      <c r="I66" s="640"/>
      <c r="J66" s="640"/>
      <c r="K66" s="999">
        <v>195</v>
      </c>
      <c r="L66" s="612">
        <f>'통장내역(환율표)'!$D$215</f>
        <v>7.1068000982821111</v>
      </c>
      <c r="M66" s="993">
        <f t="shared" si="4"/>
        <v>27.438509216987306</v>
      </c>
      <c r="N66" s="1009">
        <f t="shared" si="3"/>
        <v>127746.32000000011</v>
      </c>
      <c r="O66" s="1009">
        <f t="shared" si="5"/>
        <v>17985.971021715388</v>
      </c>
      <c r="P66" s="992" t="s">
        <v>1361</v>
      </c>
      <c r="Q66" s="713"/>
      <c r="R66" s="713"/>
      <c r="S66" s="963">
        <f t="shared" si="7"/>
        <v>17985.971799164294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45558</v>
      </c>
      <c r="C67" s="997" t="s">
        <v>1005</v>
      </c>
      <c r="D67" s="1002"/>
      <c r="E67" s="998">
        <v>17</v>
      </c>
      <c r="F67" s="640" t="s">
        <v>1062</v>
      </c>
      <c r="G67" s="640" t="s">
        <v>1063</v>
      </c>
      <c r="H67" s="640"/>
      <c r="I67" s="640"/>
      <c r="J67" s="640"/>
      <c r="K67" s="999">
        <v>1873</v>
      </c>
      <c r="L67" s="612">
        <f>'통장내역(환율표)'!$D$215</f>
        <v>7.1068000982821111</v>
      </c>
      <c r="M67" s="993">
        <f t="shared" si="4"/>
        <v>263.55039878675501</v>
      </c>
      <c r="N67" s="1009">
        <f t="shared" si="3"/>
        <v>125873.32000000011</v>
      </c>
      <c r="O67" s="1009">
        <f t="shared" si="5"/>
        <v>17722.420622928632</v>
      </c>
      <c r="P67" s="992" t="s">
        <v>1361</v>
      </c>
      <c r="Q67" s="713"/>
      <c r="R67" s="1006"/>
      <c r="S67" s="963">
        <f t="shared" si="7"/>
        <v>17722.421400377538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45558</v>
      </c>
      <c r="C68" s="997" t="s">
        <v>1003</v>
      </c>
      <c r="D68" s="1002"/>
      <c r="E68" s="998">
        <v>18</v>
      </c>
      <c r="F68" s="640" t="s">
        <v>1062</v>
      </c>
      <c r="G68" s="640" t="s">
        <v>1063</v>
      </c>
      <c r="H68" s="642"/>
      <c r="I68" s="758"/>
      <c r="J68" s="643"/>
      <c r="K68" s="999">
        <v>268</v>
      </c>
      <c r="L68" s="612">
        <f>'통장내역(환율표)'!$D$215</f>
        <v>7.1068000982821111</v>
      </c>
      <c r="M68" s="993">
        <f t="shared" si="4"/>
        <v>37.710361385397938</v>
      </c>
      <c r="N68" s="1009">
        <f t="shared" si="3"/>
        <v>125605.32000000011</v>
      </c>
      <c r="O68" s="1009">
        <f t="shared" si="5"/>
        <v>17684.710261543234</v>
      </c>
      <c r="P68" s="992" t="s">
        <v>1361</v>
      </c>
      <c r="Q68" s="713"/>
      <c r="R68" s="1006"/>
      <c r="S68" s="963">
        <f t="shared" si="7"/>
        <v>17684.71103899214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45558</v>
      </c>
      <c r="C69" s="997" t="s">
        <v>250</v>
      </c>
      <c r="D69" s="1002"/>
      <c r="E69" s="998">
        <v>19</v>
      </c>
      <c r="F69" s="640" t="s">
        <v>1365</v>
      </c>
      <c r="G69" s="640"/>
      <c r="H69" s="640"/>
      <c r="I69" s="758"/>
      <c r="J69" s="643"/>
      <c r="K69" s="1000">
        <v>3.6</v>
      </c>
      <c r="L69" s="612">
        <f>'통장내역(환율표)'!$D$215</f>
        <v>7.1068000982821111</v>
      </c>
      <c r="M69" s="993">
        <f t="shared" si="4"/>
        <v>0.50655709323668874</v>
      </c>
      <c r="N69" s="1009">
        <f t="shared" si="3"/>
        <v>125601.7200000001</v>
      </c>
      <c r="O69" s="1009">
        <f t="shared" si="5"/>
        <v>17684.203704449996</v>
      </c>
      <c r="P69" s="992" t="s">
        <v>1361</v>
      </c>
      <c r="Q69" s="713"/>
      <c r="R69" s="1006"/>
      <c r="S69" s="963">
        <f t="shared" si="7"/>
        <v>17684.204481898902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45558</v>
      </c>
      <c r="C70" s="1002" t="s">
        <v>1331</v>
      </c>
      <c r="D70" s="1002"/>
      <c r="E70" s="998">
        <v>20</v>
      </c>
      <c r="F70" s="640" t="s">
        <v>1061</v>
      </c>
      <c r="G70" s="640" t="s">
        <v>1367</v>
      </c>
      <c r="H70" s="640"/>
      <c r="I70" s="758"/>
      <c r="J70" s="643"/>
      <c r="K70" s="1000">
        <v>168</v>
      </c>
      <c r="L70" s="612">
        <f>'통장내역(환율표)'!$D$215</f>
        <v>7.1068000982821111</v>
      </c>
      <c r="M70" s="993">
        <f t="shared" si="4"/>
        <v>23.639331017712141</v>
      </c>
      <c r="N70" s="1009">
        <f t="shared" si="3"/>
        <v>125433.7200000001</v>
      </c>
      <c r="O70" s="1009">
        <f t="shared" si="5"/>
        <v>17660.564373432284</v>
      </c>
      <c r="P70" s="992" t="s">
        <v>1361</v>
      </c>
      <c r="Q70" s="713"/>
      <c r="R70" s="1006"/>
      <c r="S70" s="963">
        <f t="shared" si="7"/>
        <v>17660.56515088119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45558</v>
      </c>
      <c r="C71" s="1002" t="s">
        <v>1016</v>
      </c>
      <c r="D71" s="1002"/>
      <c r="E71" s="998">
        <v>21</v>
      </c>
      <c r="F71" s="640" t="s">
        <v>1365</v>
      </c>
      <c r="G71" s="640"/>
      <c r="H71" s="640"/>
      <c r="I71" s="758"/>
      <c r="J71" s="643"/>
      <c r="K71" s="1000">
        <v>736.7</v>
      </c>
      <c r="L71" s="612">
        <f>'통장내역(환율표)'!$D$215</f>
        <v>7.1068000982821111</v>
      </c>
      <c r="M71" s="993">
        <f t="shared" si="4"/>
        <v>103.66128071874128</v>
      </c>
      <c r="N71" s="1009">
        <f t="shared" si="3"/>
        <v>124697.02000000011</v>
      </c>
      <c r="O71" s="1009">
        <f t="shared" si="5"/>
        <v>17556.903092713543</v>
      </c>
      <c r="P71" s="992" t="s">
        <v>1361</v>
      </c>
      <c r="Q71" s="713"/>
      <c r="R71" s="1006"/>
      <c r="S71" s="963">
        <f t="shared" si="7"/>
        <v>17556.903870162449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45558</v>
      </c>
      <c r="C72" s="1002" t="s">
        <v>1020</v>
      </c>
      <c r="D72" s="1002"/>
      <c r="E72" s="998">
        <v>22</v>
      </c>
      <c r="F72" s="640" t="s">
        <v>1368</v>
      </c>
      <c r="G72" s="640" t="s">
        <v>1369</v>
      </c>
      <c r="H72" s="640"/>
      <c r="I72" s="758"/>
      <c r="J72" s="643"/>
      <c r="K72" s="1000">
        <v>212.59</v>
      </c>
      <c r="L72" s="612">
        <f>'통장내역(환율표)'!$D$215</f>
        <v>7.1068000982821111</v>
      </c>
      <c r="M72" s="993">
        <f t="shared" si="4"/>
        <v>29.913603458663239</v>
      </c>
      <c r="N72" s="1009">
        <f t="shared" si="3"/>
        <v>124484.43000000011</v>
      </c>
      <c r="O72" s="1009">
        <f t="shared" si="5"/>
        <v>17526.98948925488</v>
      </c>
      <c r="P72" s="992" t="s">
        <v>1361</v>
      </c>
      <c r="Q72" s="713"/>
      <c r="R72" s="1006"/>
      <c r="S72" s="963">
        <f t="shared" si="7"/>
        <v>17526.990266703786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45558</v>
      </c>
      <c r="C73" s="1002" t="s">
        <v>1099</v>
      </c>
      <c r="D73" s="1002"/>
      <c r="E73" s="998">
        <v>23</v>
      </c>
      <c r="F73" s="640" t="s">
        <v>1062</v>
      </c>
      <c r="G73" s="640" t="s">
        <v>1063</v>
      </c>
      <c r="H73" s="640"/>
      <c r="I73" s="758"/>
      <c r="J73" s="643"/>
      <c r="K73" s="1000">
        <v>202.82</v>
      </c>
      <c r="L73" s="612">
        <f>'통장내역(환율표)'!$D$215</f>
        <v>7.1068000982821111</v>
      </c>
      <c r="M73" s="993">
        <f t="shared" si="4"/>
        <v>28.538863791740333</v>
      </c>
      <c r="N73" s="1009">
        <f t="shared" si="3"/>
        <v>124281.6100000001</v>
      </c>
      <c r="O73" s="1009">
        <f t="shared" si="5"/>
        <v>17498.450625463141</v>
      </c>
      <c r="P73" s="992" t="s">
        <v>1361</v>
      </c>
      <c r="Q73" s="713"/>
      <c r="R73" s="1006"/>
      <c r="S73" s="963">
        <f t="shared" si="7"/>
        <v>17498.451402912047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45558</v>
      </c>
      <c r="C74" s="1002" t="s">
        <v>1356</v>
      </c>
      <c r="D74" s="1002"/>
      <c r="E74" s="998">
        <v>24</v>
      </c>
      <c r="F74" s="640" t="s">
        <v>1365</v>
      </c>
      <c r="G74" s="640"/>
      <c r="H74" s="640"/>
      <c r="I74" s="758"/>
      <c r="J74" s="643"/>
      <c r="K74" s="1000">
        <v>476.5</v>
      </c>
      <c r="L74" s="612">
        <f>'통장내역(환율표)'!$D$215</f>
        <v>7.1068000982821111</v>
      </c>
      <c r="M74" s="993">
        <f t="shared" si="4"/>
        <v>67.048459702022825</v>
      </c>
      <c r="N74" s="1009">
        <f t="shared" si="3"/>
        <v>123805.1100000001</v>
      </c>
      <c r="O74" s="1009">
        <f t="shared" si="5"/>
        <v>17431.402165761119</v>
      </c>
      <c r="P74" s="992" t="s">
        <v>1361</v>
      </c>
      <c r="Q74" s="713"/>
      <c r="R74" s="1006"/>
      <c r="S74" s="963">
        <f t="shared" si="7"/>
        <v>17431.402943210025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45558</v>
      </c>
      <c r="C75" s="997" t="s">
        <v>250</v>
      </c>
      <c r="D75" s="1002"/>
      <c r="E75" s="998">
        <v>25</v>
      </c>
      <c r="F75" s="640" t="s">
        <v>1365</v>
      </c>
      <c r="G75" s="640"/>
      <c r="H75" s="640"/>
      <c r="I75" s="758"/>
      <c r="J75" s="643"/>
      <c r="K75" s="1000">
        <v>3.6</v>
      </c>
      <c r="L75" s="612">
        <f>'통장내역(환율표)'!$D$215</f>
        <v>7.1068000982821111</v>
      </c>
      <c r="M75" s="993">
        <f t="shared" si="4"/>
        <v>0.50655709323668874</v>
      </c>
      <c r="N75" s="1009">
        <f t="shared" si="3"/>
        <v>123801.5100000001</v>
      </c>
      <c r="O75" s="1009">
        <f t="shared" si="5"/>
        <v>17430.895608667881</v>
      </c>
      <c r="P75" s="992" t="s">
        <v>1361</v>
      </c>
      <c r="Q75" s="713"/>
      <c r="R75" s="1006"/>
      <c r="S75" s="963">
        <f t="shared" si="7"/>
        <v>17430.896386116787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45558</v>
      </c>
      <c r="C76" s="1002" t="s">
        <v>1165</v>
      </c>
      <c r="D76" s="1002"/>
      <c r="E76" s="998">
        <v>26</v>
      </c>
      <c r="F76" s="640" t="s">
        <v>1062</v>
      </c>
      <c r="G76" s="640" t="s">
        <v>1063</v>
      </c>
      <c r="H76" s="640"/>
      <c r="I76" s="758"/>
      <c r="J76" s="643"/>
      <c r="K76" s="1000">
        <v>7165</v>
      </c>
      <c r="L76" s="612">
        <f>'통장내역(환율표)'!$D$215</f>
        <v>7.1068000982821111</v>
      </c>
      <c r="M76" s="993">
        <f t="shared" si="4"/>
        <v>1008.1893258446875</v>
      </c>
      <c r="N76" s="1009">
        <f t="shared" si="3"/>
        <v>116636.5100000001</v>
      </c>
      <c r="O76" s="1009">
        <f t="shared" si="5"/>
        <v>16422.706282823194</v>
      </c>
      <c r="P76" s="992" t="s">
        <v>1361</v>
      </c>
      <c r="Q76" s="713"/>
      <c r="R76" s="1006"/>
      <c r="S76" s="963">
        <f t="shared" si="7"/>
        <v>16422.7070602721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45558</v>
      </c>
      <c r="C77" s="1002" t="s">
        <v>1344</v>
      </c>
      <c r="D77" s="1002"/>
      <c r="E77" s="998">
        <v>27</v>
      </c>
      <c r="F77" s="640" t="s">
        <v>1062</v>
      </c>
      <c r="G77" s="640" t="s">
        <v>1063</v>
      </c>
      <c r="H77" s="642"/>
      <c r="I77" s="758"/>
      <c r="J77" s="643"/>
      <c r="K77" s="1000">
        <v>452.09</v>
      </c>
      <c r="L77" s="612">
        <f>'통장내역(환율표)'!$D$215</f>
        <v>7.1068000982821111</v>
      </c>
      <c r="M77" s="993">
        <f t="shared" si="4"/>
        <v>63.61372118927072</v>
      </c>
      <c r="N77" s="1009">
        <f t="shared" si="3"/>
        <v>116184.4200000001</v>
      </c>
      <c r="O77" s="1009">
        <f t="shared" si="5"/>
        <v>16359.092561633923</v>
      </c>
      <c r="P77" s="992" t="s">
        <v>1361</v>
      </c>
      <c r="Q77" s="713"/>
      <c r="R77" s="1006"/>
      <c r="S77" s="963">
        <f t="shared" si="7"/>
        <v>16359.093339082829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45558</v>
      </c>
      <c r="C78" s="1002" t="s">
        <v>1357</v>
      </c>
      <c r="D78" s="1002"/>
      <c r="E78" s="998">
        <v>28</v>
      </c>
      <c r="F78" s="640" t="s">
        <v>1365</v>
      </c>
      <c r="G78" s="640"/>
      <c r="H78" s="642"/>
      <c r="I78" s="758"/>
      <c r="J78" s="643"/>
      <c r="K78" s="1000">
        <v>861.1</v>
      </c>
      <c r="L78" s="612">
        <f>'통장내역(환율표)'!$D$215</f>
        <v>7.1068000982821111</v>
      </c>
      <c r="M78" s="993">
        <f t="shared" si="4"/>
        <v>121.16564249614241</v>
      </c>
      <c r="N78" s="1009">
        <f t="shared" si="3"/>
        <v>115323.32000000009</v>
      </c>
      <c r="O78" s="1009">
        <f t="shared" si="5"/>
        <v>16237.926919137781</v>
      </c>
      <c r="P78" s="992" t="s">
        <v>1361</v>
      </c>
      <c r="Q78" s="713"/>
      <c r="R78" s="1006"/>
      <c r="S78" s="963">
        <f t="shared" si="7"/>
        <v>16237.927696586687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1.25" customHeight="1">
      <c r="A79" s="614"/>
      <c r="B79" s="639">
        <v>45558</v>
      </c>
      <c r="C79" s="1002" t="s">
        <v>851</v>
      </c>
      <c r="D79" s="1002"/>
      <c r="E79" s="998">
        <v>29</v>
      </c>
      <c r="F79" s="640" t="s">
        <v>1368</v>
      </c>
      <c r="G79" s="640" t="s">
        <v>1369</v>
      </c>
      <c r="H79" s="642"/>
      <c r="I79" s="758"/>
      <c r="J79" s="643"/>
      <c r="K79" s="1000">
        <v>114.1</v>
      </c>
      <c r="L79" s="612">
        <f>'통장내역(환율표)'!$D$215</f>
        <v>7.1068000982821111</v>
      </c>
      <c r="M79" s="993">
        <f t="shared" si="4"/>
        <v>16.055045649529493</v>
      </c>
      <c r="N79" s="1009">
        <f t="shared" si="3"/>
        <v>115209.22000000009</v>
      </c>
      <c r="O79" s="1009">
        <f t="shared" si="5"/>
        <v>16221.871873488251</v>
      </c>
      <c r="P79" s="992" t="s">
        <v>1361</v>
      </c>
      <c r="Q79" s="713"/>
      <c r="R79" s="1006"/>
      <c r="S79" s="963">
        <f t="shared" si="7"/>
        <v>16221.872650937157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1.25" customHeight="1">
      <c r="A80" s="614"/>
      <c r="B80" s="639">
        <v>45558</v>
      </c>
      <c r="C80" s="997" t="s">
        <v>250</v>
      </c>
      <c r="D80" s="1002"/>
      <c r="E80" s="998">
        <v>30</v>
      </c>
      <c r="F80" s="640" t="s">
        <v>1365</v>
      </c>
      <c r="G80" s="640"/>
      <c r="H80" s="642"/>
      <c r="I80" s="758"/>
      <c r="J80" s="643"/>
      <c r="K80" s="1000">
        <v>3.6</v>
      </c>
      <c r="L80" s="612">
        <f>'통장내역(환율표)'!$D$215</f>
        <v>7.1068000982821111</v>
      </c>
      <c r="M80" s="993">
        <f t="shared" si="4"/>
        <v>0.50655709323668874</v>
      </c>
      <c r="N80" s="1009">
        <f t="shared" si="3"/>
        <v>115205.62000000008</v>
      </c>
      <c r="O80" s="1009">
        <f t="shared" si="5"/>
        <v>16221.365316395015</v>
      </c>
      <c r="P80" s="992" t="s">
        <v>1361</v>
      </c>
      <c r="Q80" s="713"/>
      <c r="R80" s="1006"/>
      <c r="S80" s="963">
        <f t="shared" si="7"/>
        <v>16221.366093843921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2:19" ht="11.25" customHeight="1">
      <c r="B81" s="639">
        <v>45558</v>
      </c>
      <c r="C81" s="1002" t="s">
        <v>1107</v>
      </c>
      <c r="D81" s="1002"/>
      <c r="E81" s="998">
        <v>31</v>
      </c>
      <c r="F81" s="640" t="s">
        <v>1062</v>
      </c>
      <c r="G81" s="640" t="s">
        <v>1063</v>
      </c>
      <c r="H81" s="642"/>
      <c r="I81" s="758"/>
      <c r="J81" s="643"/>
      <c r="K81" s="1000">
        <v>6027.64</v>
      </c>
      <c r="L81" s="612">
        <f>'통장내역(환율표)'!$D$215</f>
        <v>7.1068000982821111</v>
      </c>
      <c r="M81" s="993">
        <f t="shared" si="4"/>
        <v>848.15105485477625</v>
      </c>
      <c r="N81" s="1009">
        <f t="shared" si="3"/>
        <v>109177.98000000008</v>
      </c>
      <c r="O81" s="1009">
        <f t="shared" si="5"/>
        <v>15373.214261540239</v>
      </c>
      <c r="P81" s="992" t="s">
        <v>1361</v>
      </c>
      <c r="Q81" s="713"/>
      <c r="R81" s="1006"/>
      <c r="S81" s="963">
        <f t="shared" si="7"/>
        <v>15373.215038989145</v>
      </c>
    </row>
    <row r="82" spans="2:19" ht="11.25" customHeight="1">
      <c r="B82" s="639">
        <v>45558</v>
      </c>
      <c r="C82" s="1002" t="s">
        <v>857</v>
      </c>
      <c r="D82" s="1002"/>
      <c r="E82" s="998">
        <v>32</v>
      </c>
      <c r="F82" s="640" t="s">
        <v>1365</v>
      </c>
      <c r="G82" s="640"/>
      <c r="H82" s="642"/>
      <c r="I82" s="758"/>
      <c r="J82" s="643"/>
      <c r="K82" s="1000">
        <v>34</v>
      </c>
      <c r="L82" s="612">
        <f>'통장내역(환율표)'!$D$215</f>
        <v>7.1068000982821111</v>
      </c>
      <c r="M82" s="993">
        <f t="shared" si="4"/>
        <v>4.7841503250131714</v>
      </c>
      <c r="N82" s="1009">
        <f t="shared" si="3"/>
        <v>109143.98000000008</v>
      </c>
      <c r="O82" s="1009">
        <f t="shared" si="5"/>
        <v>15368.430111215226</v>
      </c>
      <c r="P82" s="992" t="s">
        <v>1361</v>
      </c>
      <c r="Q82" s="713"/>
      <c r="R82" s="1006"/>
      <c r="S82" s="963">
        <f t="shared" si="7"/>
        <v>15368.430888664132</v>
      </c>
    </row>
    <row r="83" spans="2:19" ht="11.25" customHeight="1">
      <c r="B83" s="639">
        <v>45558</v>
      </c>
      <c r="C83" s="1002" t="s">
        <v>1345</v>
      </c>
      <c r="D83" s="1002"/>
      <c r="E83" s="998">
        <v>33</v>
      </c>
      <c r="F83" s="640" t="s">
        <v>1368</v>
      </c>
      <c r="G83" s="640" t="s">
        <v>1369</v>
      </c>
      <c r="H83" s="642"/>
      <c r="I83" s="758"/>
      <c r="J83" s="643"/>
      <c r="K83" s="1000">
        <v>917</v>
      </c>
      <c r="L83" s="612">
        <f>'통장내역(환율표)'!$D$215</f>
        <v>7.1068000982821111</v>
      </c>
      <c r="M83" s="993">
        <f t="shared" si="4"/>
        <v>129.03134847167877</v>
      </c>
      <c r="N83" s="1009">
        <f t="shared" si="3"/>
        <v>108226.98000000008</v>
      </c>
      <c r="O83" s="1009">
        <f t="shared" si="5"/>
        <v>15239.398762743547</v>
      </c>
      <c r="P83" s="992" t="s">
        <v>1361</v>
      </c>
      <c r="Q83" s="613"/>
      <c r="R83" s="1006"/>
      <c r="S83" s="963">
        <f t="shared" si="7"/>
        <v>15239.399540192453</v>
      </c>
    </row>
    <row r="84" spans="2:19" ht="11.25" customHeight="1">
      <c r="B84" s="639">
        <v>45558</v>
      </c>
      <c r="C84" s="1002" t="s">
        <v>845</v>
      </c>
      <c r="D84" s="1002"/>
      <c r="E84" s="998">
        <v>34</v>
      </c>
      <c r="F84" s="640" t="s">
        <v>1061</v>
      </c>
      <c r="G84" s="640" t="s">
        <v>1367</v>
      </c>
      <c r="H84" s="642"/>
      <c r="I84" s="758"/>
      <c r="J84" s="643"/>
      <c r="K84" s="1000">
        <v>2345.67</v>
      </c>
      <c r="L84" s="612">
        <f>'통장내역(환율표)'!$D$215</f>
        <v>7.1068000982821111</v>
      </c>
      <c r="M84" s="993">
        <f t="shared" si="4"/>
        <v>330.05993802569549</v>
      </c>
      <c r="N84" s="1009">
        <f t="shared" si="3"/>
        <v>105881.31000000008</v>
      </c>
      <c r="O84" s="1009">
        <f t="shared" si="5"/>
        <v>14909.338824717852</v>
      </c>
      <c r="P84" s="992" t="s">
        <v>1361</v>
      </c>
      <c r="Q84" s="613"/>
      <c r="R84" s="1006"/>
      <c r="S84" s="963">
        <f t="shared" si="7"/>
        <v>14909.339602166758</v>
      </c>
    </row>
    <row r="85" spans="2:19" ht="11.25" customHeight="1">
      <c r="B85" s="639">
        <v>45558</v>
      </c>
      <c r="C85" s="1002" t="s">
        <v>1358</v>
      </c>
      <c r="D85" s="1002"/>
      <c r="E85" s="998">
        <v>35</v>
      </c>
      <c r="F85" s="640" t="s">
        <v>1061</v>
      </c>
      <c r="G85" s="640" t="s">
        <v>1367</v>
      </c>
      <c r="H85" s="642"/>
      <c r="I85" s="758"/>
      <c r="J85" s="643"/>
      <c r="K85" s="1000">
        <v>11500</v>
      </c>
      <c r="L85" s="612">
        <f>'통장내역(환율표)'!$D$215</f>
        <v>7.1068000982821111</v>
      </c>
      <c r="M85" s="993">
        <f t="shared" si="4"/>
        <v>1618.1684922838667</v>
      </c>
      <c r="N85" s="1009">
        <f t="shared" si="3"/>
        <v>94381.310000000085</v>
      </c>
      <c r="O85" s="1009">
        <f t="shared" si="5"/>
        <v>13291.170332433985</v>
      </c>
      <c r="P85" s="992" t="s">
        <v>1361</v>
      </c>
      <c r="Q85" s="613"/>
      <c r="R85" s="1006"/>
      <c r="S85" s="963">
        <f t="shared" si="7"/>
        <v>13291.171109882891</v>
      </c>
    </row>
    <row r="86" spans="2:19" ht="11.25" customHeight="1">
      <c r="B86" s="639">
        <v>45558</v>
      </c>
      <c r="C86" s="997" t="s">
        <v>250</v>
      </c>
      <c r="D86" s="1002"/>
      <c r="E86" s="998">
        <v>36</v>
      </c>
      <c r="F86" s="640" t="s">
        <v>1365</v>
      </c>
      <c r="G86" s="640"/>
      <c r="H86" s="642"/>
      <c r="I86" s="758"/>
      <c r="J86" s="643"/>
      <c r="K86" s="1000">
        <v>7.2</v>
      </c>
      <c r="L86" s="612">
        <f>'통장내역(환율표)'!$D$215</f>
        <v>7.1068000982821111</v>
      </c>
      <c r="M86" s="993">
        <f t="shared" ref="M86:M98" si="8">K86/L86</f>
        <v>1.0131141864733775</v>
      </c>
      <c r="N86" s="1009">
        <f t="shared" ref="N86:N98" si="9">N85+H86-K86</f>
        <v>94374.110000000088</v>
      </c>
      <c r="O86" s="1009">
        <f t="shared" ref="O86:O98" si="10">O85+J86-M86</f>
        <v>13290.157218247512</v>
      </c>
      <c r="P86" s="992" t="s">
        <v>1361</v>
      </c>
      <c r="Q86" s="713"/>
      <c r="R86" s="1006"/>
      <c r="S86" s="963">
        <f t="shared" si="7"/>
        <v>13290.157995696418</v>
      </c>
    </row>
    <row r="87" spans="2:19" ht="11.25" customHeight="1">
      <c r="B87" s="639">
        <v>45558</v>
      </c>
      <c r="C87" s="1002" t="s">
        <v>1360</v>
      </c>
      <c r="D87" s="1002"/>
      <c r="E87" s="998">
        <v>37</v>
      </c>
      <c r="F87" s="640" t="s">
        <v>1062</v>
      </c>
      <c r="G87" s="640" t="s">
        <v>1063</v>
      </c>
      <c r="H87" s="642"/>
      <c r="I87" s="758"/>
      <c r="J87" s="643"/>
      <c r="K87" s="1000">
        <v>4120.8900000000003</v>
      </c>
      <c r="L87" s="612">
        <f>'통장내역(환율표)'!$D$215</f>
        <v>7.1068000982821111</v>
      </c>
      <c r="M87" s="993">
        <f t="shared" si="8"/>
        <v>579.85168331892737</v>
      </c>
      <c r="N87" s="1009">
        <f t="shared" si="9"/>
        <v>90253.220000000088</v>
      </c>
      <c r="O87" s="1009">
        <f t="shared" si="10"/>
        <v>12710.305534928584</v>
      </c>
      <c r="P87" s="992" t="s">
        <v>1361</v>
      </c>
      <c r="Q87" s="613"/>
      <c r="R87" s="1006"/>
      <c r="S87" s="963">
        <f t="shared" si="7"/>
        <v>12710.30631237749</v>
      </c>
    </row>
    <row r="88" spans="2:19" ht="11.25" customHeight="1">
      <c r="B88" s="639">
        <v>45558</v>
      </c>
      <c r="C88" s="1002" t="s">
        <v>1261</v>
      </c>
      <c r="D88" s="1002"/>
      <c r="E88" s="998">
        <v>38</v>
      </c>
      <c r="F88" s="640" t="s">
        <v>1368</v>
      </c>
      <c r="G88" s="640" t="s">
        <v>1369</v>
      </c>
      <c r="H88" s="642"/>
      <c r="I88" s="758"/>
      <c r="J88" s="643"/>
      <c r="K88" s="1000">
        <v>301.27999999999997</v>
      </c>
      <c r="L88" s="612">
        <f>'통장내역(환율표)'!$D$215</f>
        <v>7.1068000982821111</v>
      </c>
      <c r="M88" s="993">
        <f t="shared" si="8"/>
        <v>42.393200291763769</v>
      </c>
      <c r="N88" s="1009">
        <f t="shared" si="9"/>
        <v>89951.94000000009</v>
      </c>
      <c r="O88" s="1009">
        <f t="shared" si="10"/>
        <v>12667.91233463682</v>
      </c>
      <c r="P88" s="992" t="s">
        <v>1361</v>
      </c>
      <c r="Q88" s="613"/>
      <c r="R88" s="1006"/>
      <c r="S88" s="963">
        <f t="shared" si="7"/>
        <v>12667.913112085726</v>
      </c>
    </row>
    <row r="89" spans="2:19" ht="11.25" customHeight="1">
      <c r="B89" s="639">
        <v>45558</v>
      </c>
      <c r="C89" s="1002" t="s">
        <v>1308</v>
      </c>
      <c r="D89" s="1002"/>
      <c r="E89" s="998">
        <v>39</v>
      </c>
      <c r="F89" s="640" t="s">
        <v>1061</v>
      </c>
      <c r="G89" s="640" t="s">
        <v>1367</v>
      </c>
      <c r="H89" s="642"/>
      <c r="I89" s="758"/>
      <c r="J89" s="643"/>
      <c r="K89" s="1000">
        <v>4519.43</v>
      </c>
      <c r="L89" s="612">
        <f>'통장내역(환율표)'!$D$215</f>
        <v>7.1068000982821111</v>
      </c>
      <c r="M89" s="993">
        <f>K89/L89</f>
        <v>635.9303677463023</v>
      </c>
      <c r="N89" s="1009">
        <f>N88+H89-K89</f>
        <v>85432.510000000097</v>
      </c>
      <c r="O89" s="1009">
        <f t="shared" si="10"/>
        <v>12031.981966890517</v>
      </c>
      <c r="P89" s="992" t="s">
        <v>1361</v>
      </c>
      <c r="Q89" s="613"/>
      <c r="R89" s="1006"/>
      <c r="S89" s="963">
        <f>S88-M89+J89</f>
        <v>12031.982744339422</v>
      </c>
    </row>
    <row r="90" spans="2:19" ht="11.25" customHeight="1">
      <c r="B90" s="639">
        <v>45558</v>
      </c>
      <c r="C90" s="1002" t="s">
        <v>1362</v>
      </c>
      <c r="D90" s="1002"/>
      <c r="E90" s="998">
        <v>40</v>
      </c>
      <c r="F90" s="640" t="s">
        <v>1365</v>
      </c>
      <c r="G90" s="640"/>
      <c r="H90" s="642"/>
      <c r="I90" s="758"/>
      <c r="J90" s="643"/>
      <c r="K90" s="1000">
        <v>222.88</v>
      </c>
      <c r="L90" s="612">
        <f>'통장내역(환율표)'!$D$215</f>
        <v>7.1068000982821111</v>
      </c>
      <c r="M90" s="993">
        <f>K90/L90</f>
        <v>31.361512483498107</v>
      </c>
      <c r="N90" s="1009">
        <f>N89+H90-K90</f>
        <v>85209.630000000092</v>
      </c>
      <c r="O90" s="1009">
        <f t="shared" si="10"/>
        <v>12000.620454407019</v>
      </c>
      <c r="P90" s="992" t="s">
        <v>1361</v>
      </c>
      <c r="Q90" s="613"/>
      <c r="R90" s="1006"/>
      <c r="S90" s="963">
        <f>S89-M90+J90</f>
        <v>12000.621231855925</v>
      </c>
    </row>
    <row r="91" spans="2:19" ht="11.25" customHeight="1">
      <c r="B91" s="639">
        <v>45558</v>
      </c>
      <c r="C91" s="1002" t="s">
        <v>1333</v>
      </c>
      <c r="D91" s="1002"/>
      <c r="E91" s="998">
        <v>41</v>
      </c>
      <c r="F91" s="640" t="s">
        <v>1062</v>
      </c>
      <c r="G91" s="640" t="s">
        <v>1063</v>
      </c>
      <c r="H91" s="642"/>
      <c r="I91" s="758"/>
      <c r="J91" s="643"/>
      <c r="K91" s="1000">
        <v>348.89</v>
      </c>
      <c r="L91" s="612">
        <f>'통장내역(환율표)'!$D$215</f>
        <v>7.1068000982821111</v>
      </c>
      <c r="M91" s="993">
        <f t="shared" si="8"/>
        <v>49.092417849818979</v>
      </c>
      <c r="N91" s="1009">
        <f>N90+H91-K91</f>
        <v>84860.740000000093</v>
      </c>
      <c r="O91" s="1009">
        <f t="shared" si="10"/>
        <v>11951.5280365572</v>
      </c>
      <c r="P91" s="992" t="s">
        <v>1361</v>
      </c>
      <c r="Q91" s="613"/>
      <c r="R91" s="1006"/>
      <c r="S91" s="963">
        <f t="shared" ref="S91:S98" si="11">S90-M91+J91</f>
        <v>11951.528814006106</v>
      </c>
    </row>
    <row r="92" spans="2:19" ht="11.25" customHeight="1">
      <c r="B92" s="639">
        <v>45558</v>
      </c>
      <c r="C92" s="1002" t="s">
        <v>1262</v>
      </c>
      <c r="D92" s="1002"/>
      <c r="E92" s="998">
        <v>42</v>
      </c>
      <c r="F92" s="640" t="s">
        <v>1365</v>
      </c>
      <c r="G92" s="640"/>
      <c r="H92" s="642"/>
      <c r="I92" s="758"/>
      <c r="J92" s="643"/>
      <c r="K92" s="1000">
        <v>31</v>
      </c>
      <c r="L92" s="612">
        <f>'통장내역(환율표)'!$D$215</f>
        <v>7.1068000982821111</v>
      </c>
      <c r="M92" s="993">
        <f t="shared" si="8"/>
        <v>4.3620194139825976</v>
      </c>
      <c r="N92" s="1009">
        <f t="shared" si="9"/>
        <v>84829.740000000093</v>
      </c>
      <c r="O92" s="1009">
        <f t="shared" si="10"/>
        <v>11947.166017143218</v>
      </c>
      <c r="P92" s="992" t="s">
        <v>1361</v>
      </c>
      <c r="Q92" s="613"/>
      <c r="R92" s="1006"/>
      <c r="S92" s="963">
        <f t="shared" si="11"/>
        <v>11947.166794592124</v>
      </c>
    </row>
    <row r="93" spans="2:19" ht="11.25" customHeight="1">
      <c r="B93" s="639">
        <v>45558</v>
      </c>
      <c r="C93" s="997" t="s">
        <v>250</v>
      </c>
      <c r="D93" s="1002"/>
      <c r="E93" s="998">
        <v>43</v>
      </c>
      <c r="F93" s="640" t="s">
        <v>1365</v>
      </c>
      <c r="G93" s="640"/>
      <c r="H93" s="642"/>
      <c r="I93" s="758"/>
      <c r="J93" s="643"/>
      <c r="K93" s="1000">
        <v>3.6</v>
      </c>
      <c r="L93" s="612">
        <f>'통장내역(환율표)'!$D$215</f>
        <v>7.1068000982821111</v>
      </c>
      <c r="M93" s="993">
        <f t="shared" si="8"/>
        <v>0.50655709323668874</v>
      </c>
      <c r="N93" s="1009">
        <f t="shared" si="9"/>
        <v>84826.140000000087</v>
      </c>
      <c r="O93" s="1009">
        <f t="shared" si="10"/>
        <v>11946.659460049981</v>
      </c>
      <c r="P93" s="992" t="s">
        <v>1361</v>
      </c>
      <c r="Q93" s="613"/>
      <c r="R93" s="1006"/>
      <c r="S93" s="963">
        <f t="shared" si="11"/>
        <v>11946.660237498887</v>
      </c>
    </row>
    <row r="94" spans="2:19" ht="11.25" customHeight="1">
      <c r="B94" s="639">
        <v>45558</v>
      </c>
      <c r="C94" s="1002" t="s">
        <v>1359</v>
      </c>
      <c r="D94" s="1002"/>
      <c r="E94" s="998">
        <v>44</v>
      </c>
      <c r="F94" s="640" t="s">
        <v>1062</v>
      </c>
      <c r="G94" s="640" t="s">
        <v>1063</v>
      </c>
      <c r="H94" s="642"/>
      <c r="I94" s="758"/>
      <c r="J94" s="643"/>
      <c r="K94" s="1000">
        <v>109.54</v>
      </c>
      <c r="L94" s="612">
        <f>'통장내역(환율표)'!$D$215</f>
        <v>7.1068000982821111</v>
      </c>
      <c r="M94" s="993">
        <f t="shared" si="8"/>
        <v>15.413406664763023</v>
      </c>
      <c r="N94" s="1009">
        <f t="shared" si="9"/>
        <v>84716.600000000093</v>
      </c>
      <c r="O94" s="1009">
        <f t="shared" si="10"/>
        <v>11931.246053385217</v>
      </c>
      <c r="P94" s="992" t="s">
        <v>1361</v>
      </c>
      <c r="Q94" s="613"/>
      <c r="R94" s="1006"/>
      <c r="S94" s="963">
        <f t="shared" si="11"/>
        <v>11931.246830834123</v>
      </c>
    </row>
    <row r="95" spans="2:19" ht="11.25" customHeight="1">
      <c r="B95" s="639">
        <v>45558</v>
      </c>
      <c r="C95" s="1002" t="s">
        <v>1348</v>
      </c>
      <c r="D95" s="1002"/>
      <c r="E95" s="998">
        <v>45</v>
      </c>
      <c r="F95" s="640" t="s">
        <v>1368</v>
      </c>
      <c r="G95" s="640" t="s">
        <v>1369</v>
      </c>
      <c r="H95" s="642"/>
      <c r="I95" s="758"/>
      <c r="J95" s="643"/>
      <c r="K95" s="999">
        <v>500</v>
      </c>
      <c r="L95" s="612">
        <f>'통장내역(환율표)'!$D$215</f>
        <v>7.1068000982821111</v>
      </c>
      <c r="M95" s="993">
        <f t="shared" si="8"/>
        <v>70.355151838428995</v>
      </c>
      <c r="N95" s="1009">
        <f t="shared" si="9"/>
        <v>84216.600000000093</v>
      </c>
      <c r="O95" s="1009">
        <f t="shared" si="10"/>
        <v>11860.890901546789</v>
      </c>
      <c r="P95" s="992" t="s">
        <v>1361</v>
      </c>
      <c r="Q95" s="613"/>
      <c r="R95" s="1006"/>
      <c r="S95" s="963">
        <f t="shared" si="11"/>
        <v>11860.891678995695</v>
      </c>
    </row>
    <row r="96" spans="2:19" ht="11.25" customHeight="1">
      <c r="B96" s="639">
        <v>45558</v>
      </c>
      <c r="C96" s="1002" t="s">
        <v>1349</v>
      </c>
      <c r="D96" s="1002"/>
      <c r="E96" s="998">
        <v>46</v>
      </c>
      <c r="F96" s="640" t="s">
        <v>1062</v>
      </c>
      <c r="G96" s="640" t="s">
        <v>1063</v>
      </c>
      <c r="H96" s="642"/>
      <c r="I96" s="758"/>
      <c r="J96" s="643"/>
      <c r="K96" s="999">
        <v>13957.09</v>
      </c>
      <c r="L96" s="612">
        <f>'통장내역(환율표)'!$D$215</f>
        <v>7.1068000982821111</v>
      </c>
      <c r="M96" s="993">
        <f t="shared" si="8"/>
        <v>1963.9063723452377</v>
      </c>
      <c r="N96" s="1009">
        <f t="shared" si="9"/>
        <v>70259.510000000097</v>
      </c>
      <c r="O96" s="1009">
        <f t="shared" si="10"/>
        <v>9896.9845292015507</v>
      </c>
      <c r="P96" s="992" t="s">
        <v>1361</v>
      </c>
      <c r="Q96" s="613"/>
      <c r="R96" s="1006"/>
      <c r="S96" s="963">
        <f t="shared" si="11"/>
        <v>9896.9853066504566</v>
      </c>
    </row>
    <row r="97" spans="1:29" ht="11.25" customHeight="1">
      <c r="B97" s="639">
        <v>45558</v>
      </c>
      <c r="C97" s="1002" t="s">
        <v>839</v>
      </c>
      <c r="D97" s="1002"/>
      <c r="E97" s="998">
        <v>47</v>
      </c>
      <c r="F97" s="640" t="s">
        <v>1061</v>
      </c>
      <c r="G97" s="640" t="s">
        <v>1367</v>
      </c>
      <c r="H97" s="642"/>
      <c r="I97" s="758"/>
      <c r="J97" s="643"/>
      <c r="K97" s="999">
        <v>8797.43</v>
      </c>
      <c r="L97" s="612">
        <f>'통장내역(환율표)'!$D$215</f>
        <v>7.1068000982821111</v>
      </c>
      <c r="M97" s="993">
        <f>K97/L97</f>
        <v>1237.8890468759007</v>
      </c>
      <c r="N97" s="1009">
        <f>N96+H97-K97</f>
        <v>61462.080000000096</v>
      </c>
      <c r="O97" s="1009">
        <f t="shared" si="10"/>
        <v>8659.0954823256507</v>
      </c>
      <c r="P97" s="992" t="s">
        <v>1361</v>
      </c>
      <c r="Q97" s="613"/>
      <c r="R97" s="1006"/>
      <c r="S97" s="963">
        <f>S96-M97+J97</f>
        <v>8659.0962597745565</v>
      </c>
    </row>
    <row r="98" spans="1:29" ht="11.25" customHeight="1">
      <c r="B98" s="639">
        <v>45558</v>
      </c>
      <c r="C98" s="997" t="s">
        <v>250</v>
      </c>
      <c r="D98" s="1002"/>
      <c r="E98" s="998">
        <v>48</v>
      </c>
      <c r="F98" s="640" t="s">
        <v>1365</v>
      </c>
      <c r="G98" s="640"/>
      <c r="H98" s="642"/>
      <c r="I98" s="758"/>
      <c r="J98" s="643"/>
      <c r="K98" s="999">
        <v>7.2</v>
      </c>
      <c r="L98" s="612">
        <f>'통장내역(환율표)'!$D$215</f>
        <v>7.1068000982821111</v>
      </c>
      <c r="M98" s="993">
        <f t="shared" si="8"/>
        <v>1.0131141864733775</v>
      </c>
      <c r="N98" s="1012">
        <f t="shared" si="9"/>
        <v>61454.880000000099</v>
      </c>
      <c r="O98" s="1012">
        <f t="shared" si="10"/>
        <v>8658.0823681391776</v>
      </c>
      <c r="P98" s="992" t="s">
        <v>1361</v>
      </c>
      <c r="Q98" s="613"/>
      <c r="R98" s="1006"/>
      <c r="S98" s="1013">
        <f t="shared" si="11"/>
        <v>8658.0831455880834</v>
      </c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31"/>
      <c r="H104" s="531"/>
      <c r="I104" s="531"/>
      <c r="J104" s="531"/>
      <c r="K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31"/>
      <c r="H105" s="531"/>
      <c r="I105" s="531"/>
      <c r="J105" s="531"/>
      <c r="K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31"/>
      <c r="H106" s="531"/>
      <c r="I106" s="531"/>
      <c r="J106" s="531"/>
      <c r="K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589"/>
      <c r="C107" s="589"/>
      <c r="D107" s="589"/>
      <c r="E107" s="589"/>
      <c r="F107" s="589"/>
      <c r="G107" s="531"/>
      <c r="H107" s="531"/>
      <c r="I107" s="531"/>
      <c r="J107" s="531"/>
      <c r="K107" s="531"/>
      <c r="L107" s="531"/>
      <c r="M107" s="531"/>
      <c r="N107" s="531"/>
      <c r="O107" s="531"/>
      <c r="P107" s="531"/>
      <c r="Q107" s="531"/>
      <c r="S107" s="562"/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589"/>
      <c r="C108" s="589"/>
      <c r="D108" s="589"/>
      <c r="E108" s="589"/>
      <c r="F108" s="589"/>
      <c r="G108" s="589"/>
      <c r="H108" s="589"/>
      <c r="I108" s="531"/>
      <c r="L108" s="531"/>
      <c r="M108" s="531"/>
      <c r="N108" s="531"/>
      <c r="O108" s="531"/>
      <c r="P108" s="531"/>
      <c r="Q108" s="531"/>
      <c r="S108" s="562"/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</sheetData>
  <autoFilter ref="B18:R98" xr:uid="{00000000-0009-0000-0000-000001000000}">
    <filterColumn colId="14" showButton="0"/>
    <sortState xmlns:xlrd2="http://schemas.microsoft.com/office/spreadsheetml/2017/richdata2" ref="B21:R85">
      <sortCondition sortBy="cellColor" ref="M18:M95" dxfId="10"/>
    </sortState>
  </autoFilter>
  <mergeCells count="5">
    <mergeCell ref="H17:J17"/>
    <mergeCell ref="K17:M17"/>
    <mergeCell ref="N17:O17"/>
    <mergeCell ref="P17:Q17"/>
    <mergeCell ref="P18:Q18"/>
  </mergeCells>
  <phoneticPr fontId="19" type="noConversion"/>
  <pageMargins left="0.7" right="0.7" top="0.75" bottom="0.75" header="0.3" footer="0.3"/>
  <pageSetup paperSize="256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21-A6DF-41D9-84C9-B03E1E12384A}">
  <sheetPr>
    <tabColor rgb="FFF8DA90"/>
  </sheetPr>
  <dimension ref="A1:AC104"/>
  <sheetViews>
    <sheetView showGridLines="0" zoomScaleNormal="100" workbookViewId="0">
      <pane ySplit="19" topLeftCell="A20" activePane="bottomLeft" state="frozen"/>
      <selection activeCell="G142" sqref="G142"/>
      <selection pane="bottomLeft" activeCell="D46" sqref="D46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1354</v>
      </c>
      <c r="C3" s="547"/>
      <c r="D3" s="547"/>
      <c r="E3" s="547"/>
      <c r="F3" s="790">
        <v>1339.5</v>
      </c>
      <c r="G3" s="550"/>
      <c r="H3" s="546" t="s">
        <v>1376</v>
      </c>
      <c r="I3" s="547"/>
      <c r="K3" s="548"/>
      <c r="L3" s="790">
        <v>1347.8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9644.2999999999993</v>
      </c>
      <c r="K5" s="766">
        <v>1365.56</v>
      </c>
      <c r="L5" s="723">
        <f>ROUND(K5*$L$3,0)</f>
        <v>1840502</v>
      </c>
      <c r="M5" s="970">
        <f>L5+F5</f>
        <v>1840502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24915.97</v>
      </c>
      <c r="K6" s="766">
        <v>3527.92</v>
      </c>
      <c r="L6" s="723">
        <f t="shared" ref="L6:L11" si="1">ROUND(K6*$L$3,0)</f>
        <v>4754931</v>
      </c>
      <c r="M6" s="970">
        <f t="shared" ref="M6:M13" si="2">L6+F6</f>
        <v>4754931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1448.45</v>
      </c>
      <c r="E7" s="570">
        <v>203.81</v>
      </c>
      <c r="F7" s="567">
        <f t="shared" si="0"/>
        <v>273003</v>
      </c>
      <c r="G7" s="573"/>
      <c r="H7" s="569" t="s">
        <v>15</v>
      </c>
      <c r="I7" s="569" t="s">
        <v>1064</v>
      </c>
      <c r="J7" s="767">
        <v>23096.55</v>
      </c>
      <c r="K7" s="767">
        <v>3270.31</v>
      </c>
      <c r="L7" s="723">
        <f>ROUND(K7*$L$3,0)</f>
        <v>4407724</v>
      </c>
      <c r="M7" s="970">
        <f t="shared" si="2"/>
        <v>4680727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2477.88</v>
      </c>
      <c r="L8" s="723">
        <f>ROUND(K8*$L$3,0)</f>
        <v>3339687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1457.88</v>
      </c>
      <c r="K9" s="766">
        <v>206.43</v>
      </c>
      <c r="L9" s="723">
        <f t="shared" si="1"/>
        <v>278226</v>
      </c>
      <c r="M9" s="970">
        <f t="shared" si="2"/>
        <v>278226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60082.82</v>
      </c>
      <c r="E10" s="570">
        <v>8454.27</v>
      </c>
      <c r="F10" s="567">
        <f t="shared" si="0"/>
        <v>11324495</v>
      </c>
      <c r="G10" s="575"/>
      <c r="H10" s="569" t="s">
        <v>21</v>
      </c>
      <c r="I10" s="569"/>
      <c r="J10" s="766">
        <v>249399.01000000004</v>
      </c>
      <c r="K10" s="766">
        <v>35364.129999999997</v>
      </c>
      <c r="L10" s="723">
        <f t="shared" si="1"/>
        <v>47663774</v>
      </c>
      <c r="M10" s="970">
        <f t="shared" si="2"/>
        <v>58988269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1339.4999815201522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8658.08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61531.27</v>
      </c>
      <c r="E13" s="585">
        <f>SUM(E5:E11)-E12</f>
        <v>8658.08</v>
      </c>
      <c r="F13" s="950">
        <f>SUM(F5:F11)-F12</f>
        <v>11597498</v>
      </c>
      <c r="G13" s="588">
        <f>F13+R13+AC13</f>
        <v>11597498</v>
      </c>
      <c r="H13" s="948" t="s">
        <v>22</v>
      </c>
      <c r="I13" s="949"/>
      <c r="J13" s="585">
        <f>SUM(J5:J11)-J12</f>
        <v>326013.71000000008</v>
      </c>
      <c r="K13" s="585">
        <f>SUM(K5:K11)-K12</f>
        <v>46212.229999999996</v>
      </c>
      <c r="L13" s="950">
        <f>SUM(L5:L11)-L12</f>
        <v>62284844</v>
      </c>
      <c r="M13" s="970">
        <f t="shared" si="2"/>
        <v>73882342</v>
      </c>
      <c r="N13" s="952"/>
      <c r="O13" s="953"/>
      <c r="P13" s="853"/>
      <c r="Q13" s="853"/>
      <c r="R13" s="853"/>
      <c r="S13" s="954"/>
      <c r="U13" s="930"/>
      <c r="X13" s="955">
        <f>F13+R13</f>
        <v>11597498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61531.27</v>
      </c>
      <c r="E14" s="816">
        <f>SUM(E7:E10)</f>
        <v>8658.08</v>
      </c>
      <c r="F14" s="816">
        <f>SUM(F7:F10)</f>
        <v>11597498</v>
      </c>
      <c r="G14" s="594"/>
      <c r="J14" s="1010">
        <f>J13+D13</f>
        <v>387544.9800000001</v>
      </c>
      <c r="K14" s="1010">
        <f>K13+E13</f>
        <v>54870.31</v>
      </c>
      <c r="L14" s="985">
        <f>L13+F13</f>
        <v>73882342</v>
      </c>
      <c r="M14" s="945">
        <f>M16-E12</f>
        <v>54870.312009304915</v>
      </c>
      <c r="O14" s="595"/>
      <c r="P14" s="924">
        <f>P13+D13+J13</f>
        <v>387544.9800000001</v>
      </c>
      <c r="Q14" s="924">
        <f>Q13+E13+K13</f>
        <v>54870.31</v>
      </c>
      <c r="R14" s="925">
        <f>R13+F13+L13</f>
        <v>73882342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SUBTOTAL(9,K19:K118)</f>
        <v>387544.98000000004</v>
      </c>
      <c r="L16" s="137"/>
      <c r="M16" s="724">
        <f>SUBTOTAL(9,M19:M118)</f>
        <v>54870.312009304915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986" t="s">
        <v>1071</v>
      </c>
    </row>
    <row r="19" spans="1:29" ht="11.25" customHeight="1">
      <c r="B19" s="729">
        <v>45565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61454.880000000099</v>
      </c>
      <c r="O19" s="988">
        <v>8658.0823681391776</v>
      </c>
      <c r="P19" s="989"/>
      <c r="Q19" s="732"/>
      <c r="R19" s="737"/>
      <c r="S19" s="926">
        <v>8658.0831455880834</v>
      </c>
    </row>
    <row r="20" spans="1:29" s="645" customFormat="1" ht="12" customHeight="1">
      <c r="A20" s="614"/>
      <c r="B20" s="639">
        <v>45576</v>
      </c>
      <c r="C20" s="997" t="s">
        <v>1373</v>
      </c>
      <c r="D20" s="1002"/>
      <c r="E20" s="998">
        <v>1</v>
      </c>
      <c r="F20" s="640" t="s">
        <v>107</v>
      </c>
      <c r="G20" s="640"/>
      <c r="H20" s="640"/>
      <c r="I20" s="640"/>
      <c r="J20" s="640"/>
      <c r="K20" s="999">
        <v>46475.62</v>
      </c>
      <c r="L20" s="612">
        <f>'통장내역(환율표)'!$D$215</f>
        <v>7.1068000982821111</v>
      </c>
      <c r="M20" s="993">
        <f>K20/L20</f>
        <v>6539.5986037702551</v>
      </c>
      <c r="N20" s="1009">
        <f t="shared" ref="N20:N51" si="3">N19+H20-K20</f>
        <v>14979.260000000097</v>
      </c>
      <c r="O20" s="1009">
        <f t="shared" ref="O20:O51" si="4">O19+J20-M20</f>
        <v>2118.4837643689225</v>
      </c>
      <c r="P20" s="992" t="s">
        <v>1361</v>
      </c>
      <c r="Q20" s="713"/>
      <c r="R20" s="713"/>
      <c r="S20" s="963">
        <f>S19-M20</f>
        <v>2118.4845418178284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45576</v>
      </c>
      <c r="C21" s="997" t="s">
        <v>1374</v>
      </c>
      <c r="D21" s="1002"/>
      <c r="E21" s="998">
        <v>2</v>
      </c>
      <c r="F21" s="640" t="s">
        <v>107</v>
      </c>
      <c r="G21" s="640"/>
      <c r="H21" s="640"/>
      <c r="I21" s="640"/>
      <c r="J21" s="640"/>
      <c r="K21" s="999">
        <v>13600</v>
      </c>
      <c r="L21" s="612">
        <f>'통장내역(환율표)'!$D$215</f>
        <v>7.1068000982821111</v>
      </c>
      <c r="M21" s="993">
        <f>K21/L21</f>
        <v>1913.6601300052685</v>
      </c>
      <c r="N21" s="1009">
        <f t="shared" si="3"/>
        <v>1379.2600000000966</v>
      </c>
      <c r="O21" s="1009">
        <f t="shared" si="4"/>
        <v>204.82363436365404</v>
      </c>
      <c r="P21" s="992" t="s">
        <v>1361</v>
      </c>
      <c r="Q21" s="713"/>
      <c r="R21" s="713"/>
      <c r="S21" s="963">
        <f>S20-M21</f>
        <v>204.8244118125599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45576</v>
      </c>
      <c r="C22" s="997" t="s">
        <v>445</v>
      </c>
      <c r="D22" s="1002"/>
      <c r="E22" s="998">
        <v>3</v>
      </c>
      <c r="F22" s="640" t="s">
        <v>107</v>
      </c>
      <c r="G22" s="640"/>
      <c r="H22" s="640"/>
      <c r="I22" s="640"/>
      <c r="J22" s="640"/>
      <c r="K22" s="999">
        <v>7.2</v>
      </c>
      <c r="L22" s="612">
        <f>'통장내역(환율표)'!$D$215</f>
        <v>7.1068000982821111</v>
      </c>
      <c r="M22" s="993">
        <f>K22/L22</f>
        <v>1.0131141864733775</v>
      </c>
      <c r="N22" s="1009">
        <f t="shared" si="3"/>
        <v>1372.0600000000966</v>
      </c>
      <c r="O22" s="1009">
        <f t="shared" si="4"/>
        <v>203.81052017718065</v>
      </c>
      <c r="P22" s="992" t="s">
        <v>1361</v>
      </c>
      <c r="Q22" s="713"/>
      <c r="R22" s="713"/>
      <c r="S22" s="963">
        <f>S21-M22</f>
        <v>203.81129762608651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821">
        <v>45579</v>
      </c>
      <c r="C23" s="1014" t="s">
        <v>823</v>
      </c>
      <c r="D23" s="1015"/>
      <c r="E23" s="1016">
        <v>4</v>
      </c>
      <c r="F23" s="824"/>
      <c r="G23" s="824"/>
      <c r="H23" s="1017">
        <v>423947.75</v>
      </c>
      <c r="I23" s="1018"/>
      <c r="J23" s="1017">
        <v>60079</v>
      </c>
      <c r="K23" s="1019"/>
      <c r="L23" s="828"/>
      <c r="M23" s="1020"/>
      <c r="N23" s="1020">
        <f t="shared" si="3"/>
        <v>425319.81000000011</v>
      </c>
      <c r="O23" s="1020">
        <f t="shared" si="4"/>
        <v>60282.810520177183</v>
      </c>
      <c r="P23" s="1021"/>
      <c r="Q23" s="1022"/>
      <c r="R23" s="1022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821">
        <v>45579</v>
      </c>
      <c r="C24" s="1014" t="s">
        <v>250</v>
      </c>
      <c r="D24" s="1015"/>
      <c r="E24" s="1016">
        <v>4</v>
      </c>
      <c r="F24" s="824" t="s">
        <v>107</v>
      </c>
      <c r="G24" s="824"/>
      <c r="H24" s="824"/>
      <c r="I24" s="824"/>
      <c r="J24" s="824"/>
      <c r="K24" s="1019"/>
      <c r="L24" s="828"/>
      <c r="M24" s="990">
        <v>51</v>
      </c>
      <c r="N24" s="1020">
        <f t="shared" si="3"/>
        <v>425319.81000000011</v>
      </c>
      <c r="O24" s="1020">
        <f t="shared" si="4"/>
        <v>60231.810520177183</v>
      </c>
      <c r="P24" s="1021" t="s">
        <v>1381</v>
      </c>
      <c r="Q24" s="1022"/>
      <c r="R24" s="1022"/>
      <c r="S24" s="963"/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45580</v>
      </c>
      <c r="C25" s="997" t="s">
        <v>1375</v>
      </c>
      <c r="D25" s="1002"/>
      <c r="E25" s="998">
        <v>5</v>
      </c>
      <c r="F25" s="640" t="s">
        <v>105</v>
      </c>
      <c r="G25" s="640" t="s">
        <v>1131</v>
      </c>
      <c r="H25" s="640"/>
      <c r="I25" s="640"/>
      <c r="J25" s="640"/>
      <c r="K25" s="999">
        <f>L25*M25</f>
        <v>1448.4461500000762</v>
      </c>
      <c r="L25" s="612">
        <f>'통장내역(환율표)'!$D$215</f>
        <v>7.1068000982821111</v>
      </c>
      <c r="M25" s="993">
        <v>203.81129762608651</v>
      </c>
      <c r="N25" s="1009">
        <f t="shared" si="3"/>
        <v>423871.36385000002</v>
      </c>
      <c r="O25" s="1009">
        <f t="shared" si="4"/>
        <v>60027.999222551094</v>
      </c>
      <c r="P25" s="992" t="s">
        <v>1361</v>
      </c>
      <c r="Q25" s="713"/>
      <c r="R25" s="713"/>
      <c r="S25" s="963">
        <f>S22-M25</f>
        <v>0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45580</v>
      </c>
      <c r="C26" s="997" t="s">
        <v>1375</v>
      </c>
      <c r="D26" s="1002"/>
      <c r="E26" s="998">
        <v>5</v>
      </c>
      <c r="F26" s="640" t="s">
        <v>105</v>
      </c>
      <c r="G26" s="640" t="s">
        <v>1131</v>
      </c>
      <c r="H26" s="640"/>
      <c r="I26" s="640"/>
      <c r="J26" s="640"/>
      <c r="K26" s="999">
        <f>24545-K25</f>
        <v>23096.553849999924</v>
      </c>
      <c r="L26" s="612">
        <v>7.0625</v>
      </c>
      <c r="M26" s="990">
        <f t="shared" ref="M26:M57" si="5">K26/L26</f>
        <v>3270.3085097345024</v>
      </c>
      <c r="N26" s="1009">
        <f t="shared" si="3"/>
        <v>400774.81000000011</v>
      </c>
      <c r="O26" s="1009">
        <f t="shared" si="4"/>
        <v>56757.690712816591</v>
      </c>
      <c r="P26" s="992" t="s">
        <v>1380</v>
      </c>
      <c r="Q26" s="713"/>
      <c r="R26" s="713"/>
      <c r="S26" s="963">
        <f>60028-M26</f>
        <v>56757.691490265497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45580</v>
      </c>
      <c r="C27" s="997" t="s">
        <v>445</v>
      </c>
      <c r="D27" s="1002"/>
      <c r="E27" s="998">
        <v>6</v>
      </c>
      <c r="F27" s="640" t="s">
        <v>107</v>
      </c>
      <c r="G27" s="640"/>
      <c r="H27" s="640"/>
      <c r="I27" s="640"/>
      <c r="J27" s="640"/>
      <c r="K27" s="999">
        <v>7.2</v>
      </c>
      <c r="L27" s="612">
        <v>7.0625</v>
      </c>
      <c r="M27" s="990">
        <f t="shared" si="5"/>
        <v>1.0194690265486726</v>
      </c>
      <c r="N27" s="1009">
        <f t="shared" si="3"/>
        <v>400767.6100000001</v>
      </c>
      <c r="O27" s="1009">
        <f t="shared" si="4"/>
        <v>56756.671243790042</v>
      </c>
      <c r="P27" s="992" t="s">
        <v>1380</v>
      </c>
      <c r="Q27" s="713"/>
      <c r="R27" s="713"/>
      <c r="S27" s="963">
        <f>S26-M27</f>
        <v>56756.672021238948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639">
        <v>45582</v>
      </c>
      <c r="C28" s="997" t="s">
        <v>1291</v>
      </c>
      <c r="D28" s="1002"/>
      <c r="E28" s="998">
        <v>9</v>
      </c>
      <c r="F28" s="640" t="s">
        <v>146</v>
      </c>
      <c r="G28" s="640" t="s">
        <v>147</v>
      </c>
      <c r="H28" s="640"/>
      <c r="I28" s="640"/>
      <c r="J28" s="640"/>
      <c r="K28" s="999">
        <v>1600</v>
      </c>
      <c r="L28" s="612">
        <v>7.0625</v>
      </c>
      <c r="M28" s="990">
        <f t="shared" si="5"/>
        <v>226.54867256637169</v>
      </c>
      <c r="N28" s="1009">
        <f t="shared" si="3"/>
        <v>399167.6100000001</v>
      </c>
      <c r="O28" s="1009">
        <f t="shared" si="4"/>
        <v>56530.12257122367</v>
      </c>
      <c r="P28" s="992" t="s">
        <v>1380</v>
      </c>
      <c r="Q28" s="713"/>
      <c r="R28" s="713"/>
      <c r="S28" s="963">
        <f t="shared" ref="S28:S91" si="6">S27-M28</f>
        <v>56530.123348672576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639">
        <v>45582</v>
      </c>
      <c r="C29" s="997" t="s">
        <v>445</v>
      </c>
      <c r="D29" s="1002"/>
      <c r="E29" s="998">
        <v>10</v>
      </c>
      <c r="F29" s="640" t="s">
        <v>107</v>
      </c>
      <c r="G29" s="640"/>
      <c r="H29" s="640"/>
      <c r="I29" s="640"/>
      <c r="J29" s="640"/>
      <c r="K29" s="999">
        <v>3.6</v>
      </c>
      <c r="L29" s="612">
        <v>7.0625</v>
      </c>
      <c r="M29" s="990">
        <f t="shared" si="5"/>
        <v>0.50973451327433628</v>
      </c>
      <c r="N29" s="1009">
        <f t="shared" si="3"/>
        <v>399164.01000000013</v>
      </c>
      <c r="O29" s="1009">
        <f t="shared" si="4"/>
        <v>56529.612836710396</v>
      </c>
      <c r="P29" s="992" t="s">
        <v>1380</v>
      </c>
      <c r="Q29" s="713"/>
      <c r="R29" s="713"/>
      <c r="S29" s="963">
        <f t="shared" si="6"/>
        <v>56529.613614159302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45586</v>
      </c>
      <c r="C30" s="997" t="s">
        <v>306</v>
      </c>
      <c r="D30" s="1002"/>
      <c r="E30" s="998">
        <v>11</v>
      </c>
      <c r="F30" s="640" t="s">
        <v>107</v>
      </c>
      <c r="G30" s="640"/>
      <c r="H30" s="640"/>
      <c r="I30" s="640"/>
      <c r="J30" s="640"/>
      <c r="K30" s="999">
        <v>1010</v>
      </c>
      <c r="L30" s="612">
        <v>7.0625</v>
      </c>
      <c r="M30" s="990">
        <f t="shared" si="5"/>
        <v>143.00884955752213</v>
      </c>
      <c r="N30" s="1009">
        <f t="shared" si="3"/>
        <v>398154.01000000013</v>
      </c>
      <c r="O30" s="1009">
        <f t="shared" si="4"/>
        <v>56386.60398715287</v>
      </c>
      <c r="P30" s="992" t="s">
        <v>1380</v>
      </c>
      <c r="Q30" s="713"/>
      <c r="R30" s="713"/>
      <c r="S30" s="963">
        <f t="shared" si="6"/>
        <v>56386.604764601776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45586</v>
      </c>
      <c r="C31" s="997" t="s">
        <v>445</v>
      </c>
      <c r="D31" s="1002"/>
      <c r="E31" s="998">
        <v>12</v>
      </c>
      <c r="F31" s="640" t="s">
        <v>107</v>
      </c>
      <c r="G31" s="640"/>
      <c r="H31" s="640"/>
      <c r="I31" s="640"/>
      <c r="J31" s="640"/>
      <c r="K31" s="999">
        <v>3.6</v>
      </c>
      <c r="L31" s="612">
        <v>7.0625</v>
      </c>
      <c r="M31" s="990">
        <f t="shared" si="5"/>
        <v>0.50973451327433628</v>
      </c>
      <c r="N31" s="1009">
        <f t="shared" si="3"/>
        <v>398150.41000000015</v>
      </c>
      <c r="O31" s="1009">
        <f t="shared" si="4"/>
        <v>56386.094252639596</v>
      </c>
      <c r="P31" s="992" t="s">
        <v>1380</v>
      </c>
      <c r="Q31" s="713"/>
      <c r="R31" s="713"/>
      <c r="S31" s="963">
        <f t="shared" si="6"/>
        <v>56386.095030088502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45586</v>
      </c>
      <c r="C32" s="997" t="s">
        <v>1007</v>
      </c>
      <c r="D32" s="1002"/>
      <c r="E32" s="998">
        <v>13</v>
      </c>
      <c r="F32" s="640" t="s">
        <v>146</v>
      </c>
      <c r="G32" s="640" t="s">
        <v>147</v>
      </c>
      <c r="H32" s="640"/>
      <c r="I32" s="640"/>
      <c r="J32" s="640"/>
      <c r="K32" s="999">
        <v>223</v>
      </c>
      <c r="L32" s="612">
        <v>7.0625</v>
      </c>
      <c r="M32" s="990">
        <f t="shared" si="5"/>
        <v>31.575221238938052</v>
      </c>
      <c r="N32" s="1009">
        <f t="shared" si="3"/>
        <v>397927.41000000015</v>
      </c>
      <c r="O32" s="1009">
        <f t="shared" si="4"/>
        <v>56354.519031400654</v>
      </c>
      <c r="P32" s="992" t="s">
        <v>1380</v>
      </c>
      <c r="Q32" s="713"/>
      <c r="R32" s="713"/>
      <c r="S32" s="963">
        <f t="shared" si="6"/>
        <v>56354.51980884956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45586</v>
      </c>
      <c r="C33" s="997" t="s">
        <v>1008</v>
      </c>
      <c r="D33" s="1002"/>
      <c r="E33" s="998">
        <v>14</v>
      </c>
      <c r="F33" s="640" t="s">
        <v>146</v>
      </c>
      <c r="G33" s="640" t="s">
        <v>147</v>
      </c>
      <c r="H33" s="640"/>
      <c r="I33" s="640"/>
      <c r="J33" s="640"/>
      <c r="K33" s="999">
        <v>2221.94</v>
      </c>
      <c r="L33" s="612">
        <v>7.0625</v>
      </c>
      <c r="M33" s="990">
        <f t="shared" si="5"/>
        <v>314.61097345132742</v>
      </c>
      <c r="N33" s="1009">
        <f t="shared" si="3"/>
        <v>395705.47000000015</v>
      </c>
      <c r="O33" s="1009">
        <f t="shared" si="4"/>
        <v>56039.908057949324</v>
      </c>
      <c r="P33" s="992" t="s">
        <v>1380</v>
      </c>
      <c r="Q33" s="713"/>
      <c r="R33" s="713"/>
      <c r="S33" s="963">
        <f t="shared" si="6"/>
        <v>56039.90883539823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45586</v>
      </c>
      <c r="C34" s="997" t="s">
        <v>1006</v>
      </c>
      <c r="D34" s="1002"/>
      <c r="E34" s="998">
        <v>15</v>
      </c>
      <c r="F34" s="640" t="s">
        <v>146</v>
      </c>
      <c r="G34" s="640" t="s">
        <v>147</v>
      </c>
      <c r="H34" s="640"/>
      <c r="I34" s="640"/>
      <c r="J34" s="640"/>
      <c r="K34" s="999">
        <v>168</v>
      </c>
      <c r="L34" s="612">
        <v>7.0625</v>
      </c>
      <c r="M34" s="990">
        <f t="shared" si="5"/>
        <v>23.787610619469028</v>
      </c>
      <c r="N34" s="1009">
        <f t="shared" si="3"/>
        <v>395537.47000000015</v>
      </c>
      <c r="O34" s="1009">
        <f t="shared" si="4"/>
        <v>56016.120447329857</v>
      </c>
      <c r="P34" s="992" t="s">
        <v>1380</v>
      </c>
      <c r="Q34" s="713"/>
      <c r="R34" s="713"/>
      <c r="S34" s="963">
        <f t="shared" si="6"/>
        <v>56016.121224778763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45586</v>
      </c>
      <c r="C35" s="997" t="s">
        <v>250</v>
      </c>
      <c r="D35" s="1002"/>
      <c r="E35" s="998">
        <v>16</v>
      </c>
      <c r="F35" s="640" t="s">
        <v>107</v>
      </c>
      <c r="G35" s="640"/>
      <c r="H35" s="640"/>
      <c r="I35" s="640"/>
      <c r="J35" s="640"/>
      <c r="K35" s="999">
        <v>3.6</v>
      </c>
      <c r="L35" s="612">
        <v>7.0625</v>
      </c>
      <c r="M35" s="990">
        <f t="shared" si="5"/>
        <v>0.50973451327433628</v>
      </c>
      <c r="N35" s="1009">
        <f t="shared" si="3"/>
        <v>395533.87000000017</v>
      </c>
      <c r="O35" s="1009">
        <f t="shared" si="4"/>
        <v>56015.610712816582</v>
      </c>
      <c r="P35" s="992" t="s">
        <v>1380</v>
      </c>
      <c r="Q35" s="713"/>
      <c r="R35" s="713"/>
      <c r="S35" s="963">
        <f t="shared" si="6"/>
        <v>56015.611490265488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45586</v>
      </c>
      <c r="C36" s="997" t="s">
        <v>1004</v>
      </c>
      <c r="D36" s="1002"/>
      <c r="E36" s="998">
        <v>17</v>
      </c>
      <c r="F36" s="640" t="s">
        <v>146</v>
      </c>
      <c r="G36" s="640" t="s">
        <v>147</v>
      </c>
      <c r="H36" s="640"/>
      <c r="I36" s="640"/>
      <c r="J36" s="640"/>
      <c r="K36" s="999">
        <v>246</v>
      </c>
      <c r="L36" s="612">
        <v>7.0625</v>
      </c>
      <c r="M36" s="990">
        <f t="shared" si="5"/>
        <v>34.831858407079643</v>
      </c>
      <c r="N36" s="1009">
        <f t="shared" si="3"/>
        <v>395287.87000000017</v>
      </c>
      <c r="O36" s="1009">
        <f t="shared" si="4"/>
        <v>55980.778854409502</v>
      </c>
      <c r="P36" s="992" t="s">
        <v>1380</v>
      </c>
      <c r="Q36" s="713"/>
      <c r="R36" s="713"/>
      <c r="S36" s="963">
        <f t="shared" si="6"/>
        <v>55980.779631858408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45586</v>
      </c>
      <c r="C37" s="997" t="s">
        <v>1005</v>
      </c>
      <c r="D37" s="1002"/>
      <c r="E37" s="998">
        <v>18</v>
      </c>
      <c r="F37" s="640" t="s">
        <v>146</v>
      </c>
      <c r="G37" s="640" t="s">
        <v>147</v>
      </c>
      <c r="H37" s="640"/>
      <c r="I37" s="640"/>
      <c r="J37" s="640"/>
      <c r="K37" s="999">
        <v>1530</v>
      </c>
      <c r="L37" s="612">
        <v>7.0625</v>
      </c>
      <c r="M37" s="990">
        <f t="shared" si="5"/>
        <v>216.63716814159292</v>
      </c>
      <c r="N37" s="1009">
        <f t="shared" si="3"/>
        <v>393757.87000000017</v>
      </c>
      <c r="O37" s="1009">
        <f t="shared" si="4"/>
        <v>55764.141686267911</v>
      </c>
      <c r="P37" s="992" t="s">
        <v>1380</v>
      </c>
      <c r="Q37" s="713"/>
      <c r="R37" s="713"/>
      <c r="S37" s="963">
        <f t="shared" si="6"/>
        <v>55764.142463716817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45586</v>
      </c>
      <c r="C38" s="997" t="s">
        <v>1003</v>
      </c>
      <c r="D38" s="1002"/>
      <c r="E38" s="998">
        <v>19</v>
      </c>
      <c r="F38" s="640" t="s">
        <v>146</v>
      </c>
      <c r="G38" s="640" t="s">
        <v>147</v>
      </c>
      <c r="H38" s="640"/>
      <c r="I38" s="640"/>
      <c r="J38" s="640"/>
      <c r="K38" s="999">
        <v>136</v>
      </c>
      <c r="L38" s="612">
        <v>7.0625</v>
      </c>
      <c r="M38" s="990">
        <f t="shared" si="5"/>
        <v>19.256637168141594</v>
      </c>
      <c r="N38" s="1009">
        <f t="shared" si="3"/>
        <v>393621.87000000017</v>
      </c>
      <c r="O38" s="1009">
        <f t="shared" si="4"/>
        <v>55744.885049099772</v>
      </c>
      <c r="P38" s="992" t="s">
        <v>1380</v>
      </c>
      <c r="Q38" s="713"/>
      <c r="R38" s="713"/>
      <c r="S38" s="963">
        <f t="shared" si="6"/>
        <v>55744.885826548678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45586</v>
      </c>
      <c r="C39" s="997" t="s">
        <v>250</v>
      </c>
      <c r="D39" s="1002"/>
      <c r="E39" s="998">
        <v>20</v>
      </c>
      <c r="F39" s="640" t="s">
        <v>107</v>
      </c>
      <c r="G39" s="640"/>
      <c r="H39" s="640"/>
      <c r="I39" s="640"/>
      <c r="J39" s="640"/>
      <c r="K39" s="999">
        <v>3.6</v>
      </c>
      <c r="L39" s="612">
        <v>7.0625</v>
      </c>
      <c r="M39" s="990">
        <f t="shared" si="5"/>
        <v>0.50973451327433628</v>
      </c>
      <c r="N39" s="1009">
        <f t="shared" si="3"/>
        <v>393618.27000000019</v>
      </c>
      <c r="O39" s="1009">
        <f t="shared" si="4"/>
        <v>55744.375314586498</v>
      </c>
      <c r="P39" s="992" t="s">
        <v>1380</v>
      </c>
      <c r="Q39" s="713"/>
      <c r="R39" s="713"/>
      <c r="S39" s="963">
        <f t="shared" si="6"/>
        <v>55744.376092035403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2" customHeight="1">
      <c r="A40" s="614"/>
      <c r="B40" s="639">
        <v>45586</v>
      </c>
      <c r="C40" s="997" t="s">
        <v>1020</v>
      </c>
      <c r="D40" s="1002"/>
      <c r="E40" s="998">
        <v>21</v>
      </c>
      <c r="F40" s="640" t="s">
        <v>116</v>
      </c>
      <c r="G40" s="640" t="s">
        <v>140</v>
      </c>
      <c r="H40" s="640"/>
      <c r="I40" s="640"/>
      <c r="J40" s="640"/>
      <c r="K40" s="999">
        <v>199.6</v>
      </c>
      <c r="L40" s="612">
        <v>7.0625</v>
      </c>
      <c r="M40" s="990">
        <f t="shared" si="5"/>
        <v>28.261946902654866</v>
      </c>
      <c r="N40" s="1009">
        <f t="shared" si="3"/>
        <v>393418.67000000022</v>
      </c>
      <c r="O40" s="1009">
        <f t="shared" si="4"/>
        <v>55716.113367683844</v>
      </c>
      <c r="P40" s="992" t="s">
        <v>1380</v>
      </c>
      <c r="Q40" s="713"/>
      <c r="R40" s="713"/>
      <c r="S40" s="963">
        <f t="shared" si="6"/>
        <v>55716.114145132749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45586</v>
      </c>
      <c r="C41" s="997" t="s">
        <v>1099</v>
      </c>
      <c r="D41" s="1002"/>
      <c r="E41" s="998">
        <v>22</v>
      </c>
      <c r="F41" s="640" t="s">
        <v>146</v>
      </c>
      <c r="G41" s="640" t="s">
        <v>147</v>
      </c>
      <c r="H41" s="640"/>
      <c r="I41" s="640"/>
      <c r="J41" s="640"/>
      <c r="K41" s="999">
        <v>61.77</v>
      </c>
      <c r="L41" s="612">
        <v>7.0625</v>
      </c>
      <c r="M41" s="990">
        <f t="shared" si="5"/>
        <v>8.7461946902654866</v>
      </c>
      <c r="N41" s="1009">
        <f t="shared" si="3"/>
        <v>393356.9000000002</v>
      </c>
      <c r="O41" s="1009">
        <f t="shared" si="4"/>
        <v>55707.367172993581</v>
      </c>
      <c r="P41" s="992" t="s">
        <v>1380</v>
      </c>
      <c r="Q41" s="713"/>
      <c r="R41" s="713"/>
      <c r="S41" s="963">
        <f t="shared" si="6"/>
        <v>55707.367950442487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45586</v>
      </c>
      <c r="C42" s="997" t="s">
        <v>1377</v>
      </c>
      <c r="D42" s="1002"/>
      <c r="E42" s="998">
        <v>23</v>
      </c>
      <c r="F42" s="640" t="s">
        <v>107</v>
      </c>
      <c r="G42" s="640"/>
      <c r="H42" s="640"/>
      <c r="I42" s="640"/>
      <c r="J42" s="640"/>
      <c r="K42" s="999">
        <v>516.54999999999995</v>
      </c>
      <c r="L42" s="612">
        <v>7.0625</v>
      </c>
      <c r="M42" s="990">
        <f t="shared" si="5"/>
        <v>73.139823008849547</v>
      </c>
      <c r="N42" s="1009">
        <f t="shared" si="3"/>
        <v>392840.35000000021</v>
      </c>
      <c r="O42" s="1009">
        <f t="shared" si="4"/>
        <v>55634.227349984729</v>
      </c>
      <c r="P42" s="992" t="s">
        <v>1380</v>
      </c>
      <c r="Q42" s="713"/>
      <c r="R42" s="713"/>
      <c r="S42" s="963">
        <f t="shared" si="6"/>
        <v>55634.228127433635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45586</v>
      </c>
      <c r="C43" s="997" t="s">
        <v>250</v>
      </c>
      <c r="D43" s="1002"/>
      <c r="E43" s="998">
        <v>24</v>
      </c>
      <c r="F43" s="640" t="s">
        <v>107</v>
      </c>
      <c r="G43" s="640"/>
      <c r="H43" s="640"/>
      <c r="I43" s="640"/>
      <c r="J43" s="640"/>
      <c r="K43" s="999">
        <v>3.6</v>
      </c>
      <c r="L43" s="612">
        <v>7.0625</v>
      </c>
      <c r="M43" s="990">
        <f t="shared" si="5"/>
        <v>0.50973451327433628</v>
      </c>
      <c r="N43" s="1009">
        <f t="shared" si="3"/>
        <v>392836.75000000023</v>
      </c>
      <c r="O43" s="1009">
        <f t="shared" si="4"/>
        <v>55633.717615471454</v>
      </c>
      <c r="P43" s="992" t="s">
        <v>1380</v>
      </c>
      <c r="Q43" s="713"/>
      <c r="R43" s="713"/>
      <c r="S43" s="963">
        <f t="shared" si="6"/>
        <v>55633.71839292036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45586</v>
      </c>
      <c r="C44" s="997" t="s">
        <v>1165</v>
      </c>
      <c r="D44" s="1002"/>
      <c r="E44" s="998">
        <v>25</v>
      </c>
      <c r="F44" s="640" t="s">
        <v>146</v>
      </c>
      <c r="G44" s="640" t="s">
        <v>147</v>
      </c>
      <c r="H44" s="640"/>
      <c r="I44" s="640"/>
      <c r="J44" s="640"/>
      <c r="K44" s="999">
        <v>5507.69</v>
      </c>
      <c r="L44" s="612">
        <v>7.0625</v>
      </c>
      <c r="M44" s="990">
        <f t="shared" si="5"/>
        <v>779.84991150442477</v>
      </c>
      <c r="N44" s="1009">
        <f t="shared" si="3"/>
        <v>387329.06000000023</v>
      </c>
      <c r="O44" s="1009">
        <f t="shared" si="4"/>
        <v>54853.867703967029</v>
      </c>
      <c r="P44" s="992" t="s">
        <v>1380</v>
      </c>
      <c r="Q44" s="713"/>
      <c r="R44" s="713"/>
      <c r="S44" s="963">
        <f t="shared" si="6"/>
        <v>54853.868481415935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45586</v>
      </c>
      <c r="C45" s="997" t="s">
        <v>1344</v>
      </c>
      <c r="D45" s="1002"/>
      <c r="E45" s="998">
        <v>26</v>
      </c>
      <c r="F45" s="640" t="s">
        <v>146</v>
      </c>
      <c r="G45" s="640" t="s">
        <v>147</v>
      </c>
      <c r="H45" s="640"/>
      <c r="I45" s="640"/>
      <c r="J45" s="640"/>
      <c r="K45" s="999">
        <v>218.5</v>
      </c>
      <c r="L45" s="612">
        <v>7.0625</v>
      </c>
      <c r="M45" s="990">
        <f t="shared" si="5"/>
        <v>30.938053097345133</v>
      </c>
      <c r="N45" s="1009">
        <f t="shared" si="3"/>
        <v>387110.56000000023</v>
      </c>
      <c r="O45" s="1009">
        <f t="shared" si="4"/>
        <v>54822.929650869686</v>
      </c>
      <c r="P45" s="992" t="s">
        <v>1380</v>
      </c>
      <c r="Q45" s="713"/>
      <c r="R45" s="713"/>
      <c r="S45" s="963">
        <f t="shared" si="6"/>
        <v>54822.930428318592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45586</v>
      </c>
      <c r="C46" s="997" t="s">
        <v>1357</v>
      </c>
      <c r="D46" s="1002"/>
      <c r="E46" s="998">
        <v>27</v>
      </c>
      <c r="F46" s="640" t="s">
        <v>107</v>
      </c>
      <c r="G46" s="640"/>
      <c r="H46" s="640"/>
      <c r="I46" s="640"/>
      <c r="J46" s="640"/>
      <c r="K46" s="999">
        <v>901.53</v>
      </c>
      <c r="L46" s="612">
        <v>7.0625</v>
      </c>
      <c r="M46" s="990">
        <f t="shared" si="5"/>
        <v>127.65026548672566</v>
      </c>
      <c r="N46" s="1009">
        <f t="shared" si="3"/>
        <v>386209.0300000002</v>
      </c>
      <c r="O46" s="1009">
        <f t="shared" si="4"/>
        <v>54695.279385382957</v>
      </c>
      <c r="P46" s="992" t="s">
        <v>1380</v>
      </c>
      <c r="Q46" s="713"/>
      <c r="R46" s="713"/>
      <c r="S46" s="963">
        <f t="shared" si="6"/>
        <v>54695.280162831863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45586</v>
      </c>
      <c r="C47" s="997" t="s">
        <v>851</v>
      </c>
      <c r="D47" s="1002"/>
      <c r="E47" s="998">
        <v>28</v>
      </c>
      <c r="F47" s="640" t="s">
        <v>116</v>
      </c>
      <c r="G47" s="640" t="s">
        <v>140</v>
      </c>
      <c r="H47" s="640"/>
      <c r="I47" s="640"/>
      <c r="J47" s="640"/>
      <c r="K47" s="999">
        <v>140.4</v>
      </c>
      <c r="L47" s="612">
        <v>7.0625</v>
      </c>
      <c r="M47" s="990">
        <f t="shared" si="5"/>
        <v>19.879646017699116</v>
      </c>
      <c r="N47" s="1009">
        <f t="shared" si="3"/>
        <v>386068.63000000018</v>
      </c>
      <c r="O47" s="1009">
        <f t="shared" si="4"/>
        <v>54675.399739365261</v>
      </c>
      <c r="P47" s="992" t="s">
        <v>1380</v>
      </c>
      <c r="Q47" s="713"/>
      <c r="R47" s="713"/>
      <c r="S47" s="963">
        <f t="shared" si="6"/>
        <v>54675.400516814167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45586</v>
      </c>
      <c r="C48" s="997" t="s">
        <v>1378</v>
      </c>
      <c r="D48" s="1002"/>
      <c r="E48" s="998">
        <v>29</v>
      </c>
      <c r="F48" s="640" t="s">
        <v>125</v>
      </c>
      <c r="G48" s="640" t="s">
        <v>145</v>
      </c>
      <c r="H48" s="640"/>
      <c r="I48" s="640"/>
      <c r="J48" s="640"/>
      <c r="K48" s="999">
        <v>38</v>
      </c>
      <c r="L48" s="612">
        <v>7.0625</v>
      </c>
      <c r="M48" s="990">
        <f t="shared" si="5"/>
        <v>5.3805309734513278</v>
      </c>
      <c r="N48" s="1009">
        <f t="shared" si="3"/>
        <v>386030.63000000018</v>
      </c>
      <c r="O48" s="1009">
        <f t="shared" si="4"/>
        <v>54670.019208391808</v>
      </c>
      <c r="P48" s="992" t="s">
        <v>1380</v>
      </c>
      <c r="Q48" s="713"/>
      <c r="R48" s="713"/>
      <c r="S48" s="963">
        <f t="shared" si="6"/>
        <v>54670.019985840714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45586</v>
      </c>
      <c r="C49" s="997" t="s">
        <v>250</v>
      </c>
      <c r="D49" s="1002"/>
      <c r="E49" s="998">
        <v>30</v>
      </c>
      <c r="F49" s="640" t="s">
        <v>107</v>
      </c>
      <c r="G49" s="640"/>
      <c r="H49" s="640"/>
      <c r="I49" s="640"/>
      <c r="J49" s="640"/>
      <c r="K49" s="999">
        <v>3.6</v>
      </c>
      <c r="L49" s="612">
        <v>7.0625</v>
      </c>
      <c r="M49" s="990">
        <f t="shared" si="5"/>
        <v>0.50973451327433628</v>
      </c>
      <c r="N49" s="1009">
        <f t="shared" si="3"/>
        <v>386027.0300000002</v>
      </c>
      <c r="O49" s="1009">
        <f t="shared" si="4"/>
        <v>54669.509473878534</v>
      </c>
      <c r="P49" s="992" t="s">
        <v>1380</v>
      </c>
      <c r="Q49" s="713"/>
      <c r="R49" s="713"/>
      <c r="S49" s="963">
        <f t="shared" si="6"/>
        <v>54669.51025132744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45586</v>
      </c>
      <c r="C50" s="997" t="s">
        <v>842</v>
      </c>
      <c r="D50" s="1002"/>
      <c r="E50" s="998">
        <v>31</v>
      </c>
      <c r="F50" s="640" t="s">
        <v>107</v>
      </c>
      <c r="G50" s="640"/>
      <c r="H50" s="640"/>
      <c r="I50" s="640"/>
      <c r="J50" s="640"/>
      <c r="K50" s="999">
        <v>16303</v>
      </c>
      <c r="L50" s="612">
        <v>7.0625</v>
      </c>
      <c r="M50" s="990">
        <f t="shared" si="5"/>
        <v>2308.3893805309735</v>
      </c>
      <c r="N50" s="1009">
        <f t="shared" si="3"/>
        <v>369724.0300000002</v>
      </c>
      <c r="O50" s="1009">
        <f t="shared" si="4"/>
        <v>52361.120093347563</v>
      </c>
      <c r="P50" s="992" t="s">
        <v>1380</v>
      </c>
      <c r="Q50" s="713"/>
      <c r="R50" s="713"/>
      <c r="S50" s="963">
        <f t="shared" si="6"/>
        <v>52361.120870796469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45586</v>
      </c>
      <c r="C51" s="997" t="s">
        <v>1345</v>
      </c>
      <c r="D51" s="1002"/>
      <c r="E51" s="998">
        <v>32</v>
      </c>
      <c r="F51" s="640" t="s">
        <v>116</v>
      </c>
      <c r="G51" s="640" t="s">
        <v>140</v>
      </c>
      <c r="H51" s="640"/>
      <c r="I51" s="640"/>
      <c r="J51" s="640"/>
      <c r="K51" s="999">
        <v>418.2</v>
      </c>
      <c r="L51" s="612">
        <v>7.0625</v>
      </c>
      <c r="M51" s="990">
        <f t="shared" si="5"/>
        <v>59.214159292035397</v>
      </c>
      <c r="N51" s="1009">
        <f t="shared" si="3"/>
        <v>369305.83000000019</v>
      </c>
      <c r="O51" s="1009">
        <f t="shared" si="4"/>
        <v>52301.905934055525</v>
      </c>
      <c r="P51" s="992" t="s">
        <v>1380</v>
      </c>
      <c r="Q51" s="713"/>
      <c r="R51" s="713"/>
      <c r="S51" s="963">
        <f t="shared" si="6"/>
        <v>52301.906711504431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45586</v>
      </c>
      <c r="C52" s="997" t="s">
        <v>1379</v>
      </c>
      <c r="D52" s="1002"/>
      <c r="E52" s="998">
        <v>33</v>
      </c>
      <c r="F52" s="640" t="s">
        <v>107</v>
      </c>
      <c r="G52" s="640"/>
      <c r="H52" s="640"/>
      <c r="I52" s="640"/>
      <c r="J52" s="640"/>
      <c r="K52" s="999">
        <v>157</v>
      </c>
      <c r="L52" s="612">
        <v>7.0625</v>
      </c>
      <c r="M52" s="990">
        <f t="shared" si="5"/>
        <v>22.23008849557522</v>
      </c>
      <c r="N52" s="1009">
        <f t="shared" ref="N52:N83" si="7">N51+H52-K52</f>
        <v>369148.83000000019</v>
      </c>
      <c r="O52" s="1009">
        <f t="shared" ref="O52:O83" si="8">O51+J52-M52</f>
        <v>52279.675845559948</v>
      </c>
      <c r="P52" s="992" t="s">
        <v>1380</v>
      </c>
      <c r="Q52" s="713"/>
      <c r="R52" s="713"/>
      <c r="S52" s="963">
        <f t="shared" si="6"/>
        <v>52279.676623008854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45586</v>
      </c>
      <c r="C53" s="997" t="s">
        <v>250</v>
      </c>
      <c r="D53" s="1002"/>
      <c r="E53" s="998">
        <v>34</v>
      </c>
      <c r="F53" s="640" t="s">
        <v>107</v>
      </c>
      <c r="G53" s="640"/>
      <c r="H53" s="640"/>
      <c r="I53" s="640"/>
      <c r="J53" s="640"/>
      <c r="K53" s="999">
        <v>7.2</v>
      </c>
      <c r="L53" s="612">
        <v>7.0625</v>
      </c>
      <c r="M53" s="990">
        <f t="shared" si="5"/>
        <v>1.0194690265486726</v>
      </c>
      <c r="N53" s="1009">
        <f t="shared" si="7"/>
        <v>369141.63000000018</v>
      </c>
      <c r="O53" s="1009">
        <f t="shared" si="8"/>
        <v>52278.656376533399</v>
      </c>
      <c r="P53" s="992" t="s">
        <v>1380</v>
      </c>
      <c r="Q53" s="713"/>
      <c r="R53" s="713"/>
      <c r="S53" s="963">
        <f t="shared" si="6"/>
        <v>52278.657153982305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45586</v>
      </c>
      <c r="C54" s="997" t="s">
        <v>1261</v>
      </c>
      <c r="D54" s="1002"/>
      <c r="E54" s="998">
        <v>35</v>
      </c>
      <c r="F54" s="640" t="s">
        <v>116</v>
      </c>
      <c r="G54" s="640" t="s">
        <v>140</v>
      </c>
      <c r="H54" s="640"/>
      <c r="I54" s="640"/>
      <c r="J54" s="640"/>
      <c r="K54" s="999">
        <v>299.68</v>
      </c>
      <c r="L54" s="612">
        <v>7.0625</v>
      </c>
      <c r="M54" s="990">
        <f t="shared" si="5"/>
        <v>42.432566371681418</v>
      </c>
      <c r="N54" s="1009">
        <f t="shared" si="7"/>
        <v>368841.95000000019</v>
      </c>
      <c r="O54" s="1009">
        <f t="shared" si="8"/>
        <v>52236.223810161719</v>
      </c>
      <c r="P54" s="992" t="s">
        <v>1380</v>
      </c>
      <c r="Q54" s="713"/>
      <c r="R54" s="713"/>
      <c r="S54" s="963">
        <f t="shared" si="6"/>
        <v>52236.224587610624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45586</v>
      </c>
      <c r="C55" s="997" t="s">
        <v>1308</v>
      </c>
      <c r="D55" s="1002"/>
      <c r="E55" s="998">
        <v>36</v>
      </c>
      <c r="F55" s="640" t="s">
        <v>125</v>
      </c>
      <c r="G55" s="640" t="s">
        <v>145</v>
      </c>
      <c r="H55" s="640"/>
      <c r="I55" s="640"/>
      <c r="J55" s="640"/>
      <c r="K55" s="999">
        <v>3089.98</v>
      </c>
      <c r="L55" s="612">
        <v>7.0625</v>
      </c>
      <c r="M55" s="990">
        <f t="shared" si="5"/>
        <v>437.51929203539822</v>
      </c>
      <c r="N55" s="1009">
        <f t="shared" si="7"/>
        <v>365751.9700000002</v>
      </c>
      <c r="O55" s="1009">
        <f t="shared" si="8"/>
        <v>51798.704518126324</v>
      </c>
      <c r="P55" s="992" t="s">
        <v>1380</v>
      </c>
      <c r="Q55" s="713"/>
      <c r="R55" s="713"/>
      <c r="S55" s="963">
        <f t="shared" si="6"/>
        <v>51798.70529557523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45586</v>
      </c>
      <c r="C56" s="997" t="s">
        <v>1309</v>
      </c>
      <c r="D56" s="1002"/>
      <c r="E56" s="998">
        <v>37</v>
      </c>
      <c r="F56" s="640" t="s">
        <v>146</v>
      </c>
      <c r="G56" s="640" t="s">
        <v>147</v>
      </c>
      <c r="H56" s="640"/>
      <c r="I56" s="640"/>
      <c r="J56" s="640"/>
      <c r="K56" s="999">
        <v>95.76</v>
      </c>
      <c r="L56" s="612">
        <v>7.0625</v>
      </c>
      <c r="M56" s="990">
        <f t="shared" si="5"/>
        <v>13.558938053097346</v>
      </c>
      <c r="N56" s="1009">
        <f t="shared" si="7"/>
        <v>365656.2100000002</v>
      </c>
      <c r="O56" s="1009">
        <f t="shared" si="8"/>
        <v>51785.145580073229</v>
      </c>
      <c r="P56" s="992" t="s">
        <v>1380</v>
      </c>
      <c r="Q56" s="713"/>
      <c r="R56" s="713"/>
      <c r="S56" s="963">
        <f t="shared" si="6"/>
        <v>51785.146357522135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45586</v>
      </c>
      <c r="C57" s="997" t="s">
        <v>1262</v>
      </c>
      <c r="D57" s="1002"/>
      <c r="E57" s="998">
        <v>38</v>
      </c>
      <c r="F57" s="640" t="s">
        <v>107</v>
      </c>
      <c r="G57" s="640"/>
      <c r="H57" s="640"/>
      <c r="I57" s="640"/>
      <c r="J57" s="640"/>
      <c r="K57" s="999">
        <v>12</v>
      </c>
      <c r="L57" s="612">
        <v>7.0625</v>
      </c>
      <c r="M57" s="990">
        <f t="shared" si="5"/>
        <v>1.6991150442477876</v>
      </c>
      <c r="N57" s="1009">
        <f t="shared" si="7"/>
        <v>365644.2100000002</v>
      </c>
      <c r="O57" s="1009">
        <f t="shared" si="8"/>
        <v>51783.446465028981</v>
      </c>
      <c r="P57" s="992" t="s">
        <v>1380</v>
      </c>
      <c r="Q57" s="713"/>
      <c r="R57" s="713"/>
      <c r="S57" s="963">
        <f t="shared" si="6"/>
        <v>51783.447242477887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45586</v>
      </c>
      <c r="C58" s="997" t="s">
        <v>250</v>
      </c>
      <c r="D58" s="1002"/>
      <c r="E58" s="998">
        <v>39</v>
      </c>
      <c r="F58" s="640" t="s">
        <v>107</v>
      </c>
      <c r="G58" s="640"/>
      <c r="H58" s="640"/>
      <c r="I58" s="640"/>
      <c r="J58" s="640"/>
      <c r="K58" s="999">
        <v>3.6</v>
      </c>
      <c r="L58" s="612">
        <v>7.0625</v>
      </c>
      <c r="M58" s="990">
        <f t="shared" ref="M58:M89" si="9">K58/L58</f>
        <v>0.50973451327433628</v>
      </c>
      <c r="N58" s="1009">
        <f t="shared" si="7"/>
        <v>365640.61000000022</v>
      </c>
      <c r="O58" s="1009">
        <f t="shared" si="8"/>
        <v>51782.936730515707</v>
      </c>
      <c r="P58" s="992" t="s">
        <v>1380</v>
      </c>
      <c r="Q58" s="713"/>
      <c r="R58" s="713"/>
      <c r="S58" s="963">
        <f t="shared" si="6"/>
        <v>51782.937507964612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45586</v>
      </c>
      <c r="C59" s="997" t="s">
        <v>837</v>
      </c>
      <c r="D59" s="1002"/>
      <c r="E59" s="998">
        <v>40</v>
      </c>
      <c r="F59" s="640" t="s">
        <v>146</v>
      </c>
      <c r="G59" s="640" t="s">
        <v>147</v>
      </c>
      <c r="H59" s="640"/>
      <c r="I59" s="640"/>
      <c r="J59" s="640"/>
      <c r="K59" s="999">
        <v>112.03</v>
      </c>
      <c r="L59" s="612">
        <v>7.0625</v>
      </c>
      <c r="M59" s="990">
        <f t="shared" si="9"/>
        <v>15.862654867256637</v>
      </c>
      <c r="N59" s="1009">
        <f t="shared" si="7"/>
        <v>365528.58000000019</v>
      </c>
      <c r="O59" s="1009">
        <f t="shared" si="8"/>
        <v>51767.074075648452</v>
      </c>
      <c r="P59" s="992" t="s">
        <v>1380</v>
      </c>
      <c r="Q59" s="713"/>
      <c r="R59" s="713"/>
      <c r="S59" s="963">
        <f t="shared" si="6"/>
        <v>51767.074853097358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 customHeight="1">
      <c r="A60" s="614"/>
      <c r="B60" s="639">
        <v>45586</v>
      </c>
      <c r="C60" s="997" t="s">
        <v>1348</v>
      </c>
      <c r="D60" s="1002"/>
      <c r="E60" s="998">
        <v>41</v>
      </c>
      <c r="F60" s="640" t="s">
        <v>116</v>
      </c>
      <c r="G60" s="640" t="s">
        <v>140</v>
      </c>
      <c r="H60" s="640"/>
      <c r="I60" s="640"/>
      <c r="J60" s="640"/>
      <c r="K60" s="999">
        <v>400</v>
      </c>
      <c r="L60" s="612">
        <v>7.0625</v>
      </c>
      <c r="M60" s="990">
        <f t="shared" si="9"/>
        <v>56.637168141592923</v>
      </c>
      <c r="N60" s="1009">
        <f t="shared" si="7"/>
        <v>365128.58000000019</v>
      </c>
      <c r="O60" s="1009">
        <f t="shared" si="8"/>
        <v>51710.436907506861</v>
      </c>
      <c r="P60" s="992" t="s">
        <v>1380</v>
      </c>
      <c r="Q60" s="713"/>
      <c r="R60" s="713"/>
      <c r="S60" s="963">
        <f t="shared" si="6"/>
        <v>51710.437684955767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45586</v>
      </c>
      <c r="C61" s="997" t="s">
        <v>1349</v>
      </c>
      <c r="D61" s="1002"/>
      <c r="E61" s="998">
        <v>42</v>
      </c>
      <c r="F61" s="640" t="s">
        <v>146</v>
      </c>
      <c r="G61" s="640" t="s">
        <v>147</v>
      </c>
      <c r="H61" s="640"/>
      <c r="I61" s="640"/>
      <c r="J61" s="640"/>
      <c r="K61" s="999">
        <v>12795.28</v>
      </c>
      <c r="L61" s="612">
        <v>7.0625</v>
      </c>
      <c r="M61" s="990">
        <f t="shared" si="9"/>
        <v>1811.7210619469026</v>
      </c>
      <c r="N61" s="1009">
        <f t="shared" si="7"/>
        <v>352333.30000000016</v>
      </c>
      <c r="O61" s="1009">
        <f t="shared" si="8"/>
        <v>49898.715845559957</v>
      </c>
      <c r="P61" s="992" t="s">
        <v>1380</v>
      </c>
      <c r="Q61" s="713"/>
      <c r="R61" s="713"/>
      <c r="S61" s="963">
        <f t="shared" si="6"/>
        <v>49898.716623008862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45586</v>
      </c>
      <c r="C62" s="997" t="s">
        <v>839</v>
      </c>
      <c r="D62" s="1002"/>
      <c r="E62" s="998">
        <v>43</v>
      </c>
      <c r="F62" s="640" t="s">
        <v>125</v>
      </c>
      <c r="G62" s="640" t="s">
        <v>145</v>
      </c>
      <c r="H62" s="640"/>
      <c r="I62" s="640"/>
      <c r="J62" s="640"/>
      <c r="K62" s="999">
        <v>6516.32</v>
      </c>
      <c r="L62" s="612">
        <v>7.0625</v>
      </c>
      <c r="M62" s="990">
        <f t="shared" si="9"/>
        <v>922.66477876106194</v>
      </c>
      <c r="N62" s="1009">
        <f t="shared" si="7"/>
        <v>345816.98000000016</v>
      </c>
      <c r="O62" s="1009">
        <f t="shared" si="8"/>
        <v>48976.051066798893</v>
      </c>
      <c r="P62" s="992" t="s">
        <v>1380</v>
      </c>
      <c r="Q62" s="713"/>
      <c r="R62" s="713"/>
      <c r="S62" s="963">
        <f t="shared" si="6"/>
        <v>48976.051844247799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45586</v>
      </c>
      <c r="C63" s="997" t="s">
        <v>445</v>
      </c>
      <c r="D63" s="1002"/>
      <c r="E63" s="998">
        <v>44</v>
      </c>
      <c r="F63" s="640" t="s">
        <v>107</v>
      </c>
      <c r="G63" s="640"/>
      <c r="H63" s="640"/>
      <c r="I63" s="640"/>
      <c r="J63" s="640"/>
      <c r="K63" s="999">
        <v>7.2</v>
      </c>
      <c r="L63" s="612">
        <v>7.0625</v>
      </c>
      <c r="M63" s="990">
        <f t="shared" si="9"/>
        <v>1.0194690265486726</v>
      </c>
      <c r="N63" s="1009">
        <f t="shared" si="7"/>
        <v>345809.78000000014</v>
      </c>
      <c r="O63" s="1009">
        <f t="shared" si="8"/>
        <v>48975.031597772344</v>
      </c>
      <c r="P63" s="992" t="s">
        <v>1380</v>
      </c>
      <c r="Q63" s="713"/>
      <c r="R63" s="713"/>
      <c r="S63" s="963">
        <f t="shared" si="6"/>
        <v>48975.03237522125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45586</v>
      </c>
      <c r="C64" s="997" t="s">
        <v>305</v>
      </c>
      <c r="D64" s="1002"/>
      <c r="E64" s="998">
        <v>45</v>
      </c>
      <c r="F64" s="640" t="s">
        <v>105</v>
      </c>
      <c r="G64" s="640" t="s">
        <v>227</v>
      </c>
      <c r="H64" s="640"/>
      <c r="I64" s="640"/>
      <c r="J64" s="640"/>
      <c r="K64" s="999">
        <v>10500</v>
      </c>
      <c r="L64" s="612">
        <v>7.0625</v>
      </c>
      <c r="M64" s="990">
        <f t="shared" si="9"/>
        <v>1486.7256637168141</v>
      </c>
      <c r="N64" s="1009">
        <f t="shared" si="7"/>
        <v>335309.78000000014</v>
      </c>
      <c r="O64" s="1009">
        <f t="shared" si="8"/>
        <v>47488.305934055526</v>
      </c>
      <c r="P64" s="992" t="s">
        <v>1380</v>
      </c>
      <c r="Q64" s="713"/>
      <c r="R64" s="713"/>
      <c r="S64" s="963">
        <f t="shared" si="6"/>
        <v>47488.306711504432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45586</v>
      </c>
      <c r="C65" s="997" t="s">
        <v>1116</v>
      </c>
      <c r="D65" s="1002"/>
      <c r="E65" s="998">
        <v>45</v>
      </c>
      <c r="F65" s="640" t="s">
        <v>107</v>
      </c>
      <c r="G65" s="640"/>
      <c r="H65" s="640"/>
      <c r="I65" s="640"/>
      <c r="J65" s="640"/>
      <c r="K65" s="999">
        <v>6000</v>
      </c>
      <c r="L65" s="612">
        <v>7.0625</v>
      </c>
      <c r="M65" s="990">
        <f t="shared" si="9"/>
        <v>849.55752212389382</v>
      </c>
      <c r="N65" s="1009">
        <f t="shared" si="7"/>
        <v>329309.78000000014</v>
      </c>
      <c r="O65" s="1009">
        <f t="shared" si="8"/>
        <v>46638.748411931636</v>
      </c>
      <c r="P65" s="992" t="s">
        <v>1380</v>
      </c>
      <c r="Q65" s="713"/>
      <c r="R65" s="713"/>
      <c r="S65" s="963">
        <f t="shared" si="6"/>
        <v>46638.749189380542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45586</v>
      </c>
      <c r="C66" s="997" t="s">
        <v>1117</v>
      </c>
      <c r="D66" s="1002"/>
      <c r="E66" s="998">
        <v>45</v>
      </c>
      <c r="F66" s="640" t="s">
        <v>107</v>
      </c>
      <c r="G66" s="640"/>
      <c r="H66" s="640"/>
      <c r="I66" s="640"/>
      <c r="J66" s="640"/>
      <c r="K66" s="999">
        <v>490</v>
      </c>
      <c r="L66" s="612">
        <v>7.0625</v>
      </c>
      <c r="M66" s="990">
        <f t="shared" si="9"/>
        <v>69.380530973451329</v>
      </c>
      <c r="N66" s="1009">
        <f t="shared" si="7"/>
        <v>328819.78000000014</v>
      </c>
      <c r="O66" s="1009">
        <f t="shared" si="8"/>
        <v>46569.367880958183</v>
      </c>
      <c r="P66" s="992" t="s">
        <v>1380</v>
      </c>
      <c r="Q66" s="713"/>
      <c r="R66" s="713"/>
      <c r="S66" s="963">
        <f t="shared" si="6"/>
        <v>46569.368658407089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45586</v>
      </c>
      <c r="C67" s="997" t="s">
        <v>305</v>
      </c>
      <c r="D67" s="1002"/>
      <c r="E67" s="998">
        <v>45</v>
      </c>
      <c r="F67" s="640" t="s">
        <v>105</v>
      </c>
      <c r="G67" s="640" t="s">
        <v>227</v>
      </c>
      <c r="H67" s="640"/>
      <c r="I67" s="640"/>
      <c r="J67" s="640"/>
      <c r="K67" s="999">
        <v>7000</v>
      </c>
      <c r="L67" s="612">
        <v>7.0625</v>
      </c>
      <c r="M67" s="990">
        <f t="shared" si="9"/>
        <v>991.15044247787614</v>
      </c>
      <c r="N67" s="1009">
        <f t="shared" si="7"/>
        <v>321819.78000000014</v>
      </c>
      <c r="O67" s="1009">
        <f t="shared" si="8"/>
        <v>45578.217438480307</v>
      </c>
      <c r="P67" s="992" t="s">
        <v>1380</v>
      </c>
      <c r="Q67" s="713"/>
      <c r="R67" s="713"/>
      <c r="S67" s="963">
        <f t="shared" si="6"/>
        <v>45578.218215929213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45586</v>
      </c>
      <c r="C68" s="997" t="s">
        <v>1116</v>
      </c>
      <c r="D68" s="1002"/>
      <c r="E68" s="998">
        <v>45</v>
      </c>
      <c r="F68" s="640" t="s">
        <v>107</v>
      </c>
      <c r="G68" s="640"/>
      <c r="H68" s="640"/>
      <c r="I68" s="640"/>
      <c r="J68" s="640"/>
      <c r="K68" s="999">
        <v>6000</v>
      </c>
      <c r="L68" s="612">
        <v>7.0625</v>
      </c>
      <c r="M68" s="990">
        <f t="shared" si="9"/>
        <v>849.55752212389382</v>
      </c>
      <c r="N68" s="1009">
        <f t="shared" si="7"/>
        <v>315819.78000000014</v>
      </c>
      <c r="O68" s="1009">
        <f t="shared" si="8"/>
        <v>44728.659916356417</v>
      </c>
      <c r="P68" s="992" t="s">
        <v>1380</v>
      </c>
      <c r="Q68" s="713"/>
      <c r="R68" s="713"/>
      <c r="S68" s="963">
        <f t="shared" si="6"/>
        <v>44728.660693805323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45586</v>
      </c>
      <c r="C69" s="997" t="s">
        <v>1117</v>
      </c>
      <c r="D69" s="1002"/>
      <c r="E69" s="998">
        <v>45</v>
      </c>
      <c r="F69" s="640" t="s">
        <v>107</v>
      </c>
      <c r="G69" s="640"/>
      <c r="H69" s="640"/>
      <c r="I69" s="640"/>
      <c r="J69" s="640"/>
      <c r="K69" s="999">
        <v>170</v>
      </c>
      <c r="L69" s="612">
        <v>7.0625</v>
      </c>
      <c r="M69" s="990">
        <f t="shared" si="9"/>
        <v>24.070796460176989</v>
      </c>
      <c r="N69" s="1009">
        <f t="shared" si="7"/>
        <v>315649.78000000014</v>
      </c>
      <c r="O69" s="1009">
        <f t="shared" si="8"/>
        <v>44704.589119896242</v>
      </c>
      <c r="P69" s="992" t="s">
        <v>1380</v>
      </c>
      <c r="Q69" s="713"/>
      <c r="R69" s="713"/>
      <c r="S69" s="963">
        <f t="shared" si="6"/>
        <v>44704.589897345148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45586</v>
      </c>
      <c r="C70" s="997" t="s">
        <v>445</v>
      </c>
      <c r="D70" s="1002"/>
      <c r="E70" s="998">
        <v>46</v>
      </c>
      <c r="F70" s="640" t="s">
        <v>107</v>
      </c>
      <c r="G70" s="640"/>
      <c r="H70" s="640"/>
      <c r="I70" s="640"/>
      <c r="J70" s="640"/>
      <c r="K70" s="999">
        <v>7.2</v>
      </c>
      <c r="L70" s="612">
        <v>7.0625</v>
      </c>
      <c r="M70" s="990">
        <f t="shared" si="9"/>
        <v>1.0194690265486726</v>
      </c>
      <c r="N70" s="1009">
        <f t="shared" si="7"/>
        <v>315642.58000000013</v>
      </c>
      <c r="O70" s="1009">
        <f t="shared" si="8"/>
        <v>44703.569650869693</v>
      </c>
      <c r="P70" s="992" t="s">
        <v>1380</v>
      </c>
      <c r="Q70" s="713"/>
      <c r="R70" s="713"/>
      <c r="S70" s="963">
        <f t="shared" si="6"/>
        <v>44703.570428318599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45588</v>
      </c>
      <c r="C71" s="997" t="s">
        <v>892</v>
      </c>
      <c r="D71" s="1002"/>
      <c r="E71" s="998">
        <v>47</v>
      </c>
      <c r="F71" s="640" t="s">
        <v>107</v>
      </c>
      <c r="G71" s="640"/>
      <c r="H71" s="640"/>
      <c r="I71" s="640"/>
      <c r="J71" s="640"/>
      <c r="K71" s="999">
        <v>16000</v>
      </c>
      <c r="L71" s="612">
        <v>7.0625</v>
      </c>
      <c r="M71" s="990">
        <f t="shared" si="9"/>
        <v>2265.4867256637167</v>
      </c>
      <c r="N71" s="1009">
        <f t="shared" si="7"/>
        <v>299642.58000000013</v>
      </c>
      <c r="O71" s="1009">
        <f t="shared" si="8"/>
        <v>42438.082925205978</v>
      </c>
      <c r="P71" s="992" t="s">
        <v>1380</v>
      </c>
      <c r="Q71" s="713"/>
      <c r="R71" s="713"/>
      <c r="S71" s="963">
        <f t="shared" si="6"/>
        <v>42438.083702654883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45588</v>
      </c>
      <c r="C72" s="997" t="s">
        <v>947</v>
      </c>
      <c r="D72" s="1002"/>
      <c r="E72" s="998">
        <v>47</v>
      </c>
      <c r="F72" s="640" t="s">
        <v>107</v>
      </c>
      <c r="G72" s="640"/>
      <c r="H72" s="640"/>
      <c r="I72" s="640"/>
      <c r="J72" s="640"/>
      <c r="K72" s="999">
        <v>24000</v>
      </c>
      <c r="L72" s="612">
        <v>7.0625</v>
      </c>
      <c r="M72" s="990">
        <f t="shared" si="9"/>
        <v>3398.2300884955753</v>
      </c>
      <c r="N72" s="1009">
        <f t="shared" si="7"/>
        <v>275642.58000000013</v>
      </c>
      <c r="O72" s="1009">
        <f t="shared" si="8"/>
        <v>39039.852836710401</v>
      </c>
      <c r="P72" s="992" t="s">
        <v>1380</v>
      </c>
      <c r="Q72" s="713"/>
      <c r="R72" s="713"/>
      <c r="S72" s="963">
        <f t="shared" si="6"/>
        <v>39039.853614159307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45588</v>
      </c>
      <c r="C73" s="997" t="s">
        <v>894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5145.1900000000005</v>
      </c>
      <c r="L73" s="612">
        <v>7.0625</v>
      </c>
      <c r="M73" s="990">
        <f t="shared" si="9"/>
        <v>728.52247787610622</v>
      </c>
      <c r="N73" s="1009">
        <f t="shared" si="7"/>
        <v>270497.39000000013</v>
      </c>
      <c r="O73" s="1009">
        <f t="shared" si="8"/>
        <v>38311.330358834297</v>
      </c>
      <c r="P73" s="992" t="s">
        <v>1380</v>
      </c>
      <c r="Q73" s="713"/>
      <c r="R73" s="713"/>
      <c r="S73" s="963">
        <f t="shared" si="6"/>
        <v>38311.331136283203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45588</v>
      </c>
      <c r="C74" s="997" t="s">
        <v>895</v>
      </c>
      <c r="D74" s="1002"/>
      <c r="E74" s="998">
        <v>47</v>
      </c>
      <c r="F74" s="640" t="s">
        <v>107</v>
      </c>
      <c r="G74" s="640"/>
      <c r="H74" s="640"/>
      <c r="I74" s="640"/>
      <c r="J74" s="640"/>
      <c r="K74" s="999">
        <v>8342</v>
      </c>
      <c r="L74" s="612">
        <v>7.0625</v>
      </c>
      <c r="M74" s="990">
        <f t="shared" si="9"/>
        <v>1181.1681415929204</v>
      </c>
      <c r="N74" s="1009">
        <f t="shared" si="7"/>
        <v>262155.39000000013</v>
      </c>
      <c r="O74" s="1009">
        <f t="shared" si="8"/>
        <v>37130.162217241377</v>
      </c>
      <c r="P74" s="992" t="s">
        <v>1380</v>
      </c>
      <c r="Q74" s="713"/>
      <c r="R74" s="713"/>
      <c r="S74" s="963">
        <f t="shared" si="6"/>
        <v>37130.162994690283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45588</v>
      </c>
      <c r="C75" s="997" t="s">
        <v>899</v>
      </c>
      <c r="D75" s="1002"/>
      <c r="E75" s="998">
        <v>47</v>
      </c>
      <c r="F75" s="640" t="s">
        <v>107</v>
      </c>
      <c r="G75" s="640"/>
      <c r="H75" s="640"/>
      <c r="I75" s="640"/>
      <c r="J75" s="640"/>
      <c r="K75" s="999">
        <v>300</v>
      </c>
      <c r="L75" s="612">
        <v>7.0625</v>
      </c>
      <c r="M75" s="990">
        <f t="shared" si="9"/>
        <v>42.477876106194692</v>
      </c>
      <c r="N75" s="1009">
        <f t="shared" si="7"/>
        <v>261855.39000000013</v>
      </c>
      <c r="O75" s="1009">
        <f t="shared" si="8"/>
        <v>37087.68434113518</v>
      </c>
      <c r="P75" s="992" t="s">
        <v>1380</v>
      </c>
      <c r="Q75" s="713"/>
      <c r="R75" s="713"/>
      <c r="S75" s="963">
        <f t="shared" si="6"/>
        <v>37087.685118584086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45588</v>
      </c>
      <c r="C76" s="997" t="s">
        <v>892</v>
      </c>
      <c r="D76" s="1002"/>
      <c r="E76" s="998">
        <v>47</v>
      </c>
      <c r="F76" s="640" t="s">
        <v>107</v>
      </c>
      <c r="G76" s="640"/>
      <c r="H76" s="640"/>
      <c r="I76" s="640"/>
      <c r="J76" s="640"/>
      <c r="K76" s="999">
        <v>15000</v>
      </c>
      <c r="L76" s="612">
        <v>7.0625</v>
      </c>
      <c r="M76" s="990">
        <f t="shared" si="9"/>
        <v>2123.8938053097345</v>
      </c>
      <c r="N76" s="1009">
        <f t="shared" si="7"/>
        <v>246855.39000000013</v>
      </c>
      <c r="O76" s="1009">
        <f t="shared" si="8"/>
        <v>34963.790535825443</v>
      </c>
      <c r="P76" s="992" t="s">
        <v>1380</v>
      </c>
      <c r="Q76" s="713"/>
      <c r="R76" s="713"/>
      <c r="S76" s="963">
        <f t="shared" si="6"/>
        <v>34963.791313274349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45588</v>
      </c>
      <c r="C77" s="997" t="s">
        <v>947</v>
      </c>
      <c r="D77" s="1002"/>
      <c r="E77" s="998">
        <v>47</v>
      </c>
      <c r="F77" s="640" t="s">
        <v>107</v>
      </c>
      <c r="G77" s="640"/>
      <c r="H77" s="640"/>
      <c r="I77" s="640"/>
      <c r="J77" s="640"/>
      <c r="K77" s="999">
        <v>22000</v>
      </c>
      <c r="L77" s="612">
        <v>7.0625</v>
      </c>
      <c r="M77" s="990">
        <f t="shared" si="9"/>
        <v>3115.0442477876104</v>
      </c>
      <c r="N77" s="1009">
        <f t="shared" si="7"/>
        <v>224855.39000000013</v>
      </c>
      <c r="O77" s="1009">
        <f t="shared" si="8"/>
        <v>31848.746288037833</v>
      </c>
      <c r="P77" s="992" t="s">
        <v>1380</v>
      </c>
      <c r="Q77" s="713"/>
      <c r="R77" s="713"/>
      <c r="S77" s="963">
        <f t="shared" si="6"/>
        <v>31848.747065486739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45588</v>
      </c>
      <c r="C78" s="997" t="s">
        <v>894</v>
      </c>
      <c r="D78" s="1002"/>
      <c r="E78" s="998">
        <v>47</v>
      </c>
      <c r="F78" s="640" t="s">
        <v>107</v>
      </c>
      <c r="G78" s="640"/>
      <c r="H78" s="640"/>
      <c r="I78" s="640"/>
      <c r="J78" s="640"/>
      <c r="K78" s="999">
        <v>8576.1899999999987</v>
      </c>
      <c r="L78" s="612">
        <v>7.0625</v>
      </c>
      <c r="M78" s="990">
        <f t="shared" si="9"/>
        <v>1214.3277876106192</v>
      </c>
      <c r="N78" s="1009">
        <f t="shared" si="7"/>
        <v>216279.20000000013</v>
      </c>
      <c r="O78" s="1009">
        <f t="shared" si="8"/>
        <v>30634.418500427215</v>
      </c>
      <c r="P78" s="992" t="s">
        <v>1380</v>
      </c>
      <c r="Q78" s="713"/>
      <c r="R78" s="713"/>
      <c r="S78" s="963">
        <f t="shared" si="6"/>
        <v>30634.419277876121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45588</v>
      </c>
      <c r="C79" s="997" t="s">
        <v>895</v>
      </c>
      <c r="D79" s="1002"/>
      <c r="E79" s="998">
        <v>47</v>
      </c>
      <c r="F79" s="640" t="s">
        <v>107</v>
      </c>
      <c r="G79" s="640"/>
      <c r="H79" s="640"/>
      <c r="I79" s="640"/>
      <c r="J79" s="640"/>
      <c r="K79" s="999">
        <v>5734</v>
      </c>
      <c r="L79" s="612">
        <v>7.0625</v>
      </c>
      <c r="M79" s="990">
        <f t="shared" si="9"/>
        <v>811.89380530973449</v>
      </c>
      <c r="N79" s="1009">
        <f t="shared" si="7"/>
        <v>210545.20000000013</v>
      </c>
      <c r="O79" s="1009">
        <f t="shared" si="8"/>
        <v>29822.524695117481</v>
      </c>
      <c r="P79" s="992" t="s">
        <v>1380</v>
      </c>
      <c r="Q79" s="713"/>
      <c r="R79" s="713"/>
      <c r="S79" s="963">
        <f t="shared" si="6"/>
        <v>29822.525472566387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45588</v>
      </c>
      <c r="C80" s="997" t="s">
        <v>899</v>
      </c>
      <c r="D80" s="1002"/>
      <c r="E80" s="998">
        <v>47</v>
      </c>
      <c r="F80" s="640" t="s">
        <v>107</v>
      </c>
      <c r="G80" s="640"/>
      <c r="H80" s="640"/>
      <c r="I80" s="640"/>
      <c r="J80" s="640"/>
      <c r="K80" s="999">
        <v>300</v>
      </c>
      <c r="L80" s="612">
        <v>7.0625</v>
      </c>
      <c r="M80" s="990">
        <f t="shared" si="9"/>
        <v>42.477876106194692</v>
      </c>
      <c r="N80" s="1009">
        <f t="shared" si="7"/>
        <v>210245.20000000013</v>
      </c>
      <c r="O80" s="1009">
        <f t="shared" si="8"/>
        <v>29780.046819011288</v>
      </c>
      <c r="P80" s="992" t="s">
        <v>1380</v>
      </c>
      <c r="Q80" s="713"/>
      <c r="R80" s="713"/>
      <c r="S80" s="963">
        <f t="shared" si="6"/>
        <v>29780.047596460194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45588</v>
      </c>
      <c r="C81" s="997" t="s">
        <v>898</v>
      </c>
      <c r="D81" s="1002"/>
      <c r="E81" s="998">
        <v>47</v>
      </c>
      <c r="F81" s="640" t="s">
        <v>107</v>
      </c>
      <c r="G81" s="640"/>
      <c r="H81" s="640"/>
      <c r="I81" s="640"/>
      <c r="J81" s="640"/>
      <c r="K81" s="999">
        <v>25750</v>
      </c>
      <c r="L81" s="612">
        <v>7.0625</v>
      </c>
      <c r="M81" s="990">
        <f t="shared" si="9"/>
        <v>3646.0176991150443</v>
      </c>
      <c r="N81" s="1009">
        <f t="shared" si="7"/>
        <v>184495.20000000013</v>
      </c>
      <c r="O81" s="1009">
        <f t="shared" si="8"/>
        <v>26134.029119896244</v>
      </c>
      <c r="P81" s="992" t="s">
        <v>1380</v>
      </c>
      <c r="Q81" s="713"/>
      <c r="R81" s="713"/>
      <c r="S81" s="963">
        <f t="shared" si="6"/>
        <v>26134.02989734515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45588</v>
      </c>
      <c r="C82" s="997" t="s">
        <v>1118</v>
      </c>
      <c r="D82" s="1002"/>
      <c r="E82" s="998">
        <v>47</v>
      </c>
      <c r="F82" s="640" t="s">
        <v>107</v>
      </c>
      <c r="G82" s="640"/>
      <c r="H82" s="640"/>
      <c r="I82" s="640"/>
      <c r="J82" s="640"/>
      <c r="K82" s="999">
        <v>13250</v>
      </c>
      <c r="L82" s="612">
        <v>7.0625</v>
      </c>
      <c r="M82" s="990">
        <f t="shared" si="9"/>
        <v>1876.1061946902655</v>
      </c>
      <c r="N82" s="1009">
        <f t="shared" si="7"/>
        <v>171245.20000000013</v>
      </c>
      <c r="O82" s="1009">
        <f t="shared" si="8"/>
        <v>24257.922925205978</v>
      </c>
      <c r="P82" s="992" t="s">
        <v>1380</v>
      </c>
      <c r="Q82" s="713"/>
      <c r="R82" s="713"/>
      <c r="S82" s="963">
        <f t="shared" si="6"/>
        <v>24257.923702654884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45588</v>
      </c>
      <c r="C83" s="997" t="s">
        <v>948</v>
      </c>
      <c r="D83" s="1002"/>
      <c r="E83" s="998">
        <v>47</v>
      </c>
      <c r="F83" s="640" t="s">
        <v>107</v>
      </c>
      <c r="G83" s="640"/>
      <c r="H83" s="640"/>
      <c r="I83" s="640"/>
      <c r="J83" s="640"/>
      <c r="K83" s="999">
        <v>7173.94</v>
      </c>
      <c r="L83" s="612">
        <v>7.0625</v>
      </c>
      <c r="M83" s="990">
        <f t="shared" si="9"/>
        <v>1015.7791150442478</v>
      </c>
      <c r="N83" s="1009">
        <f t="shared" si="7"/>
        <v>164071.26000000013</v>
      </c>
      <c r="O83" s="1009">
        <f t="shared" si="8"/>
        <v>23242.143810161731</v>
      </c>
      <c r="P83" s="992" t="s">
        <v>1380</v>
      </c>
      <c r="Q83" s="713"/>
      <c r="R83" s="713"/>
      <c r="S83" s="963">
        <f t="shared" si="6"/>
        <v>23242.144587610637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45588</v>
      </c>
      <c r="C84" s="997" t="s">
        <v>899</v>
      </c>
      <c r="D84" s="1002"/>
      <c r="E84" s="998">
        <v>47</v>
      </c>
      <c r="F84" s="640" t="s">
        <v>107</v>
      </c>
      <c r="G84" s="640"/>
      <c r="H84" s="640"/>
      <c r="I84" s="640"/>
      <c r="J84" s="640"/>
      <c r="K84" s="999">
        <v>300</v>
      </c>
      <c r="L84" s="612">
        <v>7.0625</v>
      </c>
      <c r="M84" s="990">
        <f t="shared" si="9"/>
        <v>42.477876106194692</v>
      </c>
      <c r="N84" s="1009">
        <f t="shared" ref="N84:N94" si="10">N83+H84-K84</f>
        <v>163771.26000000013</v>
      </c>
      <c r="O84" s="1009">
        <f t="shared" ref="O84:O94" si="11">O83+J84-M84</f>
        <v>23199.665934055538</v>
      </c>
      <c r="P84" s="992" t="s">
        <v>1380</v>
      </c>
      <c r="Q84" s="713"/>
      <c r="R84" s="713"/>
      <c r="S84" s="963">
        <f t="shared" si="6"/>
        <v>23199.666711504444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45588</v>
      </c>
      <c r="C85" s="997" t="s">
        <v>992</v>
      </c>
      <c r="D85" s="1002"/>
      <c r="E85" s="998">
        <v>47</v>
      </c>
      <c r="F85" s="640" t="s">
        <v>107</v>
      </c>
      <c r="G85" s="640"/>
      <c r="H85" s="640"/>
      <c r="I85" s="640"/>
      <c r="J85" s="640"/>
      <c r="K85" s="999">
        <v>1000</v>
      </c>
      <c r="L85" s="612">
        <v>7.0625</v>
      </c>
      <c r="M85" s="990">
        <f t="shared" si="9"/>
        <v>141.59292035398229</v>
      </c>
      <c r="N85" s="1009">
        <f t="shared" si="10"/>
        <v>162771.26000000013</v>
      </c>
      <c r="O85" s="1009">
        <f t="shared" si="11"/>
        <v>23058.073013701556</v>
      </c>
      <c r="P85" s="992" t="s">
        <v>1380</v>
      </c>
      <c r="Q85" s="713"/>
      <c r="R85" s="713"/>
      <c r="S85" s="963">
        <f t="shared" si="6"/>
        <v>23058.073791150462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45588</v>
      </c>
      <c r="C86" s="997" t="s">
        <v>898</v>
      </c>
      <c r="D86" s="1002"/>
      <c r="E86" s="998">
        <v>47</v>
      </c>
      <c r="F86" s="640" t="s">
        <v>107</v>
      </c>
      <c r="G86" s="640"/>
      <c r="H86" s="640"/>
      <c r="I86" s="640"/>
      <c r="J86" s="640"/>
      <c r="K86" s="999">
        <v>13390</v>
      </c>
      <c r="L86" s="612">
        <v>7.0625</v>
      </c>
      <c r="M86" s="990">
        <f t="shared" si="9"/>
        <v>1895.929203539823</v>
      </c>
      <c r="N86" s="1009">
        <f t="shared" si="10"/>
        <v>149381.26000000013</v>
      </c>
      <c r="O86" s="1009">
        <f t="shared" si="11"/>
        <v>21162.143810161731</v>
      </c>
      <c r="P86" s="992" t="s">
        <v>1380</v>
      </c>
      <c r="Q86" s="713"/>
      <c r="R86" s="713"/>
      <c r="S86" s="963">
        <f t="shared" si="6"/>
        <v>21162.144587610637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45588</v>
      </c>
      <c r="C87" s="997" t="s">
        <v>1118</v>
      </c>
      <c r="D87" s="1002"/>
      <c r="E87" s="998">
        <v>47</v>
      </c>
      <c r="F87" s="640" t="s">
        <v>107</v>
      </c>
      <c r="G87" s="640"/>
      <c r="H87" s="640"/>
      <c r="I87" s="640"/>
      <c r="J87" s="640"/>
      <c r="K87" s="999">
        <v>4240</v>
      </c>
      <c r="L87" s="612">
        <v>7.0625</v>
      </c>
      <c r="M87" s="990">
        <f t="shared" si="9"/>
        <v>600.35398230088492</v>
      </c>
      <c r="N87" s="1009">
        <f t="shared" si="10"/>
        <v>145141.26000000013</v>
      </c>
      <c r="O87" s="1009">
        <f t="shared" si="11"/>
        <v>20561.789827860848</v>
      </c>
      <c r="P87" s="992" t="s">
        <v>1380</v>
      </c>
      <c r="Q87" s="713"/>
      <c r="R87" s="713"/>
      <c r="S87" s="963">
        <f t="shared" si="6"/>
        <v>20561.790605309754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45588</v>
      </c>
      <c r="C88" s="997" t="s">
        <v>948</v>
      </c>
      <c r="D88" s="1002"/>
      <c r="E88" s="998">
        <v>47</v>
      </c>
      <c r="F88" s="640" t="s">
        <v>107</v>
      </c>
      <c r="G88" s="640"/>
      <c r="H88" s="640"/>
      <c r="I88" s="640"/>
      <c r="J88" s="640"/>
      <c r="K88" s="999">
        <v>3147.67</v>
      </c>
      <c r="L88" s="612">
        <v>7.0625</v>
      </c>
      <c r="M88" s="990">
        <f t="shared" si="9"/>
        <v>445.68778761061947</v>
      </c>
      <c r="N88" s="1009">
        <f t="shared" si="10"/>
        <v>141993.59000000011</v>
      </c>
      <c r="O88" s="1009">
        <f t="shared" si="11"/>
        <v>20116.102040250229</v>
      </c>
      <c r="P88" s="992" t="s">
        <v>1380</v>
      </c>
      <c r="Q88" s="713"/>
      <c r="R88" s="713"/>
      <c r="S88" s="963">
        <f t="shared" si="6"/>
        <v>20116.102817699135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45588</v>
      </c>
      <c r="C89" s="997" t="s">
        <v>899</v>
      </c>
      <c r="D89" s="1002"/>
      <c r="E89" s="998">
        <v>47</v>
      </c>
      <c r="F89" s="640" t="s">
        <v>107</v>
      </c>
      <c r="G89" s="640"/>
      <c r="H89" s="640"/>
      <c r="I89" s="640"/>
      <c r="J89" s="640"/>
      <c r="K89" s="999">
        <v>300</v>
      </c>
      <c r="L89" s="612">
        <v>7.0625</v>
      </c>
      <c r="M89" s="990">
        <f t="shared" si="9"/>
        <v>42.477876106194692</v>
      </c>
      <c r="N89" s="1009">
        <f t="shared" si="10"/>
        <v>141693.59000000011</v>
      </c>
      <c r="O89" s="1009">
        <f t="shared" si="11"/>
        <v>20073.624164144036</v>
      </c>
      <c r="P89" s="992" t="s">
        <v>1380</v>
      </c>
      <c r="Q89" s="713"/>
      <c r="R89" s="713"/>
      <c r="S89" s="963">
        <f t="shared" si="6"/>
        <v>20073.624941592941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2" customHeight="1">
      <c r="A90" s="614"/>
      <c r="B90" s="639">
        <v>45588</v>
      </c>
      <c r="C90" s="997" t="s">
        <v>898</v>
      </c>
      <c r="D90" s="1002"/>
      <c r="E90" s="998">
        <v>47</v>
      </c>
      <c r="F90" s="640" t="s">
        <v>107</v>
      </c>
      <c r="G90" s="640"/>
      <c r="H90" s="640"/>
      <c r="I90" s="640"/>
      <c r="J90" s="640"/>
      <c r="K90" s="999">
        <v>25750</v>
      </c>
      <c r="L90" s="612">
        <v>7.0625</v>
      </c>
      <c r="M90" s="990">
        <f>K90/L90</f>
        <v>3646.0176991150443</v>
      </c>
      <c r="N90" s="1009">
        <f t="shared" si="10"/>
        <v>115943.59000000011</v>
      </c>
      <c r="O90" s="1009">
        <f t="shared" si="11"/>
        <v>16427.606465028992</v>
      </c>
      <c r="P90" s="992" t="s">
        <v>1380</v>
      </c>
      <c r="Q90" s="713"/>
      <c r="R90" s="713"/>
      <c r="S90" s="963">
        <f t="shared" si="6"/>
        <v>16427.607242477898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45588</v>
      </c>
      <c r="C91" s="997" t="s">
        <v>1118</v>
      </c>
      <c r="D91" s="1002"/>
      <c r="E91" s="998">
        <v>47</v>
      </c>
      <c r="F91" s="640" t="s">
        <v>107</v>
      </c>
      <c r="G91" s="640"/>
      <c r="H91" s="640"/>
      <c r="I91" s="640"/>
      <c r="J91" s="640"/>
      <c r="K91" s="999">
        <v>10600</v>
      </c>
      <c r="L91" s="612">
        <v>7.0625</v>
      </c>
      <c r="M91" s="990">
        <v>1500.88</v>
      </c>
      <c r="N91" s="1009">
        <f t="shared" si="10"/>
        <v>105343.59000000011</v>
      </c>
      <c r="O91" s="1009">
        <f t="shared" si="11"/>
        <v>14926.726465028991</v>
      </c>
      <c r="P91" s="992" t="s">
        <v>1380</v>
      </c>
      <c r="Q91" s="713"/>
      <c r="R91" s="713"/>
      <c r="S91" s="963">
        <f t="shared" si="6"/>
        <v>14926.727242477897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645" customFormat="1" ht="12" customHeight="1">
      <c r="A92" s="614"/>
      <c r="B92" s="639">
        <v>45588</v>
      </c>
      <c r="C92" s="997" t="s">
        <v>948</v>
      </c>
      <c r="D92" s="1002"/>
      <c r="E92" s="998">
        <v>47</v>
      </c>
      <c r="F92" s="640" t="s">
        <v>107</v>
      </c>
      <c r="G92" s="640"/>
      <c r="H92" s="640"/>
      <c r="I92" s="640"/>
      <c r="J92" s="640"/>
      <c r="K92" s="999">
        <v>7173.94</v>
      </c>
      <c r="L92" s="612">
        <v>7.0625</v>
      </c>
      <c r="M92" s="990">
        <f>K92/L92</f>
        <v>1015.7791150442478</v>
      </c>
      <c r="N92" s="1009">
        <f t="shared" si="10"/>
        <v>98169.650000000111</v>
      </c>
      <c r="O92" s="1009">
        <f t="shared" si="11"/>
        <v>13910.947349984743</v>
      </c>
      <c r="P92" s="992" t="s">
        <v>1380</v>
      </c>
      <c r="Q92" s="713"/>
      <c r="R92" s="713"/>
      <c r="S92" s="963">
        <f>S91-M92</f>
        <v>13910.948127433649</v>
      </c>
      <c r="T92" s="531"/>
      <c r="V92" s="531"/>
      <c r="W92" s="531"/>
      <c r="X92" s="531"/>
      <c r="Y92" s="531"/>
      <c r="Z92" s="531"/>
      <c r="AA92" s="531"/>
      <c r="AB92" s="531"/>
      <c r="AC92" s="531"/>
    </row>
    <row r="93" spans="1:29" s="645" customFormat="1" ht="12" customHeight="1">
      <c r="A93" s="614"/>
      <c r="B93" s="639">
        <v>45588</v>
      </c>
      <c r="C93" s="997" t="s">
        <v>899</v>
      </c>
      <c r="D93" s="1002"/>
      <c r="E93" s="998">
        <v>47</v>
      </c>
      <c r="F93" s="640" t="s">
        <v>107</v>
      </c>
      <c r="G93" s="640"/>
      <c r="H93" s="640"/>
      <c r="I93" s="640"/>
      <c r="J93" s="640"/>
      <c r="K93" s="999">
        <v>300</v>
      </c>
      <c r="L93" s="612">
        <v>7.0625</v>
      </c>
      <c r="M93" s="990">
        <f>K93/L93</f>
        <v>42.477876106194692</v>
      </c>
      <c r="N93" s="1009">
        <f t="shared" si="10"/>
        <v>97869.650000000111</v>
      </c>
      <c r="O93" s="1009">
        <f t="shared" si="11"/>
        <v>13868.469473878547</v>
      </c>
      <c r="P93" s="992" t="s">
        <v>1380</v>
      </c>
      <c r="Q93" s="713"/>
      <c r="R93" s="713"/>
      <c r="S93" s="963">
        <f>S92-M93</f>
        <v>13868.470251327453</v>
      </c>
      <c r="T93" s="531"/>
      <c r="V93" s="531"/>
      <c r="W93" s="531"/>
      <c r="X93" s="531"/>
      <c r="Y93" s="531"/>
      <c r="Z93" s="531"/>
      <c r="AA93" s="531"/>
      <c r="AB93" s="531"/>
      <c r="AC93" s="531"/>
    </row>
    <row r="94" spans="1:29" s="645" customFormat="1" ht="12" customHeight="1">
      <c r="A94" s="614"/>
      <c r="B94" s="639">
        <v>45588</v>
      </c>
      <c r="C94" s="997" t="s">
        <v>250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12</v>
      </c>
      <c r="L94" s="612">
        <v>7.0625</v>
      </c>
      <c r="M94" s="990">
        <f>K94/L94</f>
        <v>1.6991150442477876</v>
      </c>
      <c r="N94" s="991">
        <f t="shared" si="10"/>
        <v>97857.650000000111</v>
      </c>
      <c r="O94" s="991">
        <f t="shared" si="11"/>
        <v>13866.770358834299</v>
      </c>
      <c r="P94" s="992" t="s">
        <v>1380</v>
      </c>
      <c r="Q94" s="713"/>
      <c r="R94" s="713"/>
      <c r="S94" s="1023">
        <f>S93-M94</f>
        <v>13866.771136283205</v>
      </c>
      <c r="T94" s="531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89"/>
      <c r="H104" s="589"/>
      <c r="I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</sheetData>
  <autoFilter ref="B18:R94" xr:uid="{00000000-0009-0000-0000-000001000000}">
    <filterColumn colId="14" showButton="0"/>
    <sortState xmlns:xlrd2="http://schemas.microsoft.com/office/spreadsheetml/2017/richdata2" ref="B21:R82">
      <sortCondition sortBy="cellColor" ref="M18:M92" dxfId="9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0396-FD66-4EF3-BF10-FC0CA565C074}">
  <sheetPr>
    <tabColor rgb="FFF8DA90"/>
  </sheetPr>
  <dimension ref="A1:AC101"/>
  <sheetViews>
    <sheetView showGridLines="0" zoomScaleNormal="100" workbookViewId="0">
      <pane ySplit="19" topLeftCell="A20" activePane="bottomLeft" state="frozen"/>
      <selection activeCell="G142" sqref="G142"/>
      <selection pane="bottomLeft" activeCell="J103" sqref="J103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1392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1376</v>
      </c>
      <c r="C3" s="547"/>
      <c r="D3" s="547"/>
      <c r="E3" s="547"/>
      <c r="F3" s="790">
        <v>1347.8</v>
      </c>
      <c r="G3" s="550"/>
      <c r="H3" s="546" t="s">
        <v>1383</v>
      </c>
      <c r="I3" s="547"/>
      <c r="K3" s="548"/>
      <c r="L3" s="1024">
        <v>1385.4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16892.830000000002</v>
      </c>
      <c r="K5" s="766">
        <v>2338.79</v>
      </c>
      <c r="L5" s="723">
        <f>ROUND(K5*$L$3,0)</f>
        <v>3240160</v>
      </c>
      <c r="M5" s="970">
        <f>L5+F5</f>
        <v>3240160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2799</v>
      </c>
      <c r="E6" s="570">
        <v>396.32</v>
      </c>
      <c r="F6" s="567">
        <f t="shared" ref="F6:F12" si="0">ROUND(E6*$F$3,0)</f>
        <v>534160</v>
      </c>
      <c r="G6" s="572"/>
      <c r="H6" s="569" t="s">
        <v>13</v>
      </c>
      <c r="I6" s="569" t="s">
        <v>14</v>
      </c>
      <c r="J6" s="766">
        <v>24062.809999999998</v>
      </c>
      <c r="K6" s="766">
        <v>3331.46</v>
      </c>
      <c r="L6" s="723">
        <f t="shared" ref="L6:L11" si="1">ROUND(K6*$L$3,0)</f>
        <v>4615405</v>
      </c>
      <c r="M6" s="970">
        <f t="shared" ref="M6:M13" si="2">L6+F6</f>
        <v>5149565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24491</v>
      </c>
      <c r="E7" s="570">
        <v>3467.75</v>
      </c>
      <c r="F7" s="567">
        <f t="shared" si="0"/>
        <v>4673833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4673833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2477.88</v>
      </c>
      <c r="F8" s="567">
        <f t="shared" si="0"/>
        <v>3339687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2164.8000000000002</v>
      </c>
      <c r="K9" s="766">
        <v>299.70999999999998</v>
      </c>
      <c r="L9" s="723">
        <f t="shared" si="1"/>
        <v>415218</v>
      </c>
      <c r="M9" s="970">
        <f t="shared" si="2"/>
        <v>415218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53144.07</v>
      </c>
      <c r="E10" s="570">
        <v>7524.82</v>
      </c>
      <c r="F10" s="567">
        <f t="shared" si="0"/>
        <v>10141952</v>
      </c>
      <c r="G10" s="575"/>
      <c r="H10" s="569" t="s">
        <v>21</v>
      </c>
      <c r="I10" s="569"/>
      <c r="J10" s="766">
        <v>153318.88</v>
      </c>
      <c r="K10" s="766">
        <v>21277.78</v>
      </c>
      <c r="L10" s="723">
        <f t="shared" si="1"/>
        <v>29478236</v>
      </c>
      <c r="M10" s="970">
        <f t="shared" si="2"/>
        <v>39620188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1347.7999562984025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13866.77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97934.07</v>
      </c>
      <c r="E13" s="585">
        <f>SUM(E5:E11)-E12</f>
        <v>13866.77</v>
      </c>
      <c r="F13" s="950">
        <f>SUM(F5:F11)-F12</f>
        <v>18689632</v>
      </c>
      <c r="G13" s="588">
        <f>F13+R13+AC13</f>
        <v>18689632</v>
      </c>
      <c r="H13" s="948" t="s">
        <v>22</v>
      </c>
      <c r="I13" s="949"/>
      <c r="J13" s="585">
        <f>SUM(J5:J11)-J12</f>
        <v>196439.32</v>
      </c>
      <c r="K13" s="585">
        <f>SUM(K5:K11)-K12</f>
        <v>27247.739999999998</v>
      </c>
      <c r="L13" s="950">
        <f>SUM(L5:L11)-L12</f>
        <v>37749019</v>
      </c>
      <c r="M13" s="970">
        <f t="shared" si="2"/>
        <v>56438651</v>
      </c>
      <c r="N13" s="952"/>
      <c r="O13" s="953"/>
      <c r="P13" s="853"/>
      <c r="Q13" s="853"/>
      <c r="R13" s="853"/>
      <c r="S13" s="954"/>
      <c r="U13" s="930"/>
      <c r="X13" s="955">
        <f>F13+R13</f>
        <v>18689632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95135.07</v>
      </c>
      <c r="E14" s="816">
        <f>SUM(E7:E10)</f>
        <v>13470.45</v>
      </c>
      <c r="F14" s="816">
        <f>SUM(F7:F10)</f>
        <v>18155472</v>
      </c>
      <c r="G14" s="594"/>
      <c r="J14" s="1010">
        <f>J13+D13</f>
        <v>294373.39</v>
      </c>
      <c r="K14" s="1010">
        <f>K13+E13</f>
        <v>41114.509999999995</v>
      </c>
      <c r="L14" s="985">
        <f>L13+F13</f>
        <v>56438651</v>
      </c>
      <c r="M14" s="945">
        <f>M16-E12</f>
        <v>41114.509296581309</v>
      </c>
      <c r="O14" s="595"/>
      <c r="P14" s="924">
        <f>P13+D13+J13</f>
        <v>294373.39</v>
      </c>
      <c r="Q14" s="924">
        <f>Q13+E13+K13</f>
        <v>41114.509999999995</v>
      </c>
      <c r="R14" s="925">
        <f>R13+F13+L13</f>
        <v>56438651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SUBTOTAL(9,K19:K115)</f>
        <v>294373.39</v>
      </c>
      <c r="L16" s="137"/>
      <c r="M16" s="724">
        <f>SUBTOTAL(9,M19:M115)</f>
        <v>41114.509296581309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986" t="s">
        <v>1071</v>
      </c>
    </row>
    <row r="19" spans="1:29" ht="11.25" customHeight="1">
      <c r="B19" s="729">
        <v>45596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97857.650000000111</v>
      </c>
      <c r="O19" s="988">
        <v>13866.770358834299</v>
      </c>
      <c r="P19" s="989"/>
      <c r="Q19" s="732"/>
      <c r="R19" s="737"/>
      <c r="S19" s="926">
        <v>13866.771136283205</v>
      </c>
    </row>
    <row r="20" spans="1:29" s="645" customFormat="1" ht="12" customHeight="1">
      <c r="A20" s="614"/>
      <c r="B20" s="639">
        <v>45597</v>
      </c>
      <c r="C20" s="997" t="s">
        <v>1384</v>
      </c>
      <c r="D20" s="1002"/>
      <c r="E20" s="998">
        <v>1</v>
      </c>
      <c r="F20" s="640" t="s">
        <v>146</v>
      </c>
      <c r="G20" s="640" t="s">
        <v>147</v>
      </c>
      <c r="H20" s="640"/>
      <c r="I20" s="640"/>
      <c r="J20" s="640"/>
      <c r="K20" s="999">
        <v>133</v>
      </c>
      <c r="L20" s="612">
        <v>7.0625</v>
      </c>
      <c r="M20" s="993">
        <f>K20/L20</f>
        <v>18.831858407079647</v>
      </c>
      <c r="N20" s="1009">
        <f t="shared" ref="N20:N29" si="3">N19+H20-K20</f>
        <v>97724.650000000111</v>
      </c>
      <c r="O20" s="1009">
        <f t="shared" ref="O20:O29" si="4">O19+J20-M20</f>
        <v>13847.938500427219</v>
      </c>
      <c r="P20" s="992" t="s">
        <v>1381</v>
      </c>
      <c r="Q20" s="713"/>
      <c r="R20" s="713"/>
      <c r="S20" s="963">
        <f>S19-M20</f>
        <v>13847.939277876125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45597</v>
      </c>
      <c r="C21" s="997" t="s">
        <v>1385</v>
      </c>
      <c r="D21" s="1002"/>
      <c r="E21" s="998">
        <v>2</v>
      </c>
      <c r="F21" s="640" t="s">
        <v>146</v>
      </c>
      <c r="G21" s="640" t="s">
        <v>147</v>
      </c>
      <c r="H21" s="640"/>
      <c r="I21" s="640"/>
      <c r="J21" s="640"/>
      <c r="K21" s="999">
        <v>991</v>
      </c>
      <c r="L21" s="612">
        <v>7.0625</v>
      </c>
      <c r="M21" s="993">
        <f t="shared" ref="M21:M27" si="5">K21/L21</f>
        <v>140.31858407079645</v>
      </c>
      <c r="N21" s="1009">
        <f t="shared" si="3"/>
        <v>96733.650000000111</v>
      </c>
      <c r="O21" s="1009">
        <f t="shared" si="4"/>
        <v>13707.619916356423</v>
      </c>
      <c r="P21" s="992" t="s">
        <v>1381</v>
      </c>
      <c r="Q21" s="713"/>
      <c r="R21" s="713"/>
      <c r="S21" s="963">
        <f t="shared" ref="S21:S38" si="6">S20-M21</f>
        <v>13707.620693805329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45597</v>
      </c>
      <c r="C22" s="997" t="s">
        <v>1003</v>
      </c>
      <c r="D22" s="1002"/>
      <c r="E22" s="998">
        <v>3</v>
      </c>
      <c r="F22" s="640" t="s">
        <v>146</v>
      </c>
      <c r="G22" s="640" t="s">
        <v>147</v>
      </c>
      <c r="H22" s="640"/>
      <c r="I22" s="640"/>
      <c r="J22" s="640"/>
      <c r="K22" s="999">
        <v>75</v>
      </c>
      <c r="L22" s="612">
        <v>7.0625</v>
      </c>
      <c r="M22" s="993">
        <f t="shared" si="5"/>
        <v>10.619469026548673</v>
      </c>
      <c r="N22" s="1009">
        <f t="shared" si="3"/>
        <v>96658.650000000111</v>
      </c>
      <c r="O22" s="1009">
        <f t="shared" si="4"/>
        <v>13697.000447329874</v>
      </c>
      <c r="P22" s="992" t="s">
        <v>1381</v>
      </c>
      <c r="Q22" s="713"/>
      <c r="R22" s="713" t="s">
        <v>1393</v>
      </c>
      <c r="S22" s="963">
        <f t="shared" si="6"/>
        <v>13697.00122477878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45597</v>
      </c>
      <c r="C23" s="997" t="s">
        <v>445</v>
      </c>
      <c r="D23" s="1002"/>
      <c r="E23" s="998">
        <v>4</v>
      </c>
      <c r="F23" s="640" t="s">
        <v>107</v>
      </c>
      <c r="G23" s="640"/>
      <c r="H23" s="1025"/>
      <c r="I23" s="1026"/>
      <c r="J23" s="1025"/>
      <c r="K23" s="999">
        <v>3.6</v>
      </c>
      <c r="L23" s="612">
        <v>7.0625</v>
      </c>
      <c r="M23" s="993">
        <f t="shared" si="5"/>
        <v>0.50973451327433628</v>
      </c>
      <c r="N23" s="1009">
        <f t="shared" si="3"/>
        <v>96655.050000000105</v>
      </c>
      <c r="O23" s="1009">
        <f t="shared" si="4"/>
        <v>13696.4907128166</v>
      </c>
      <c r="P23" s="992" t="s">
        <v>1381</v>
      </c>
      <c r="Q23" s="713"/>
      <c r="R23" s="713"/>
      <c r="S23" s="963">
        <f t="shared" si="6"/>
        <v>13696.491490265505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45611</v>
      </c>
      <c r="C24" s="997" t="s">
        <v>1375</v>
      </c>
      <c r="D24" s="1002"/>
      <c r="E24" s="998">
        <v>5</v>
      </c>
      <c r="F24" s="640" t="s">
        <v>105</v>
      </c>
      <c r="G24" s="640" t="s">
        <v>1131</v>
      </c>
      <c r="H24" s="640"/>
      <c r="I24" s="640"/>
      <c r="J24" s="640"/>
      <c r="K24" s="999">
        <v>24491</v>
      </c>
      <c r="L24" s="612">
        <v>7.0625</v>
      </c>
      <c r="M24" s="993">
        <f t="shared" si="5"/>
        <v>3467.7522123893805</v>
      </c>
      <c r="N24" s="1009">
        <f t="shared" si="3"/>
        <v>72164.050000000105</v>
      </c>
      <c r="O24" s="1009">
        <f t="shared" si="4"/>
        <v>10228.738500427218</v>
      </c>
      <c r="P24" s="992" t="s">
        <v>1381</v>
      </c>
      <c r="Q24" s="713"/>
      <c r="R24" s="713"/>
      <c r="S24" s="963">
        <f t="shared" si="6"/>
        <v>10228.739277876124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45611</v>
      </c>
      <c r="C25" s="997" t="s">
        <v>445</v>
      </c>
      <c r="D25" s="1002"/>
      <c r="E25" s="998">
        <v>6</v>
      </c>
      <c r="F25" s="640" t="s">
        <v>107</v>
      </c>
      <c r="G25" s="640"/>
      <c r="H25" s="640"/>
      <c r="I25" s="640"/>
      <c r="J25" s="640"/>
      <c r="K25" s="999">
        <v>7.2</v>
      </c>
      <c r="L25" s="612">
        <v>7.0625</v>
      </c>
      <c r="M25" s="993">
        <f t="shared" si="5"/>
        <v>1.0194690265486726</v>
      </c>
      <c r="N25" s="1009">
        <f t="shared" si="3"/>
        <v>72156.850000000108</v>
      </c>
      <c r="O25" s="1009">
        <f t="shared" si="4"/>
        <v>10227.719031400669</v>
      </c>
      <c r="P25" s="992" t="s">
        <v>1381</v>
      </c>
      <c r="Q25" s="713"/>
      <c r="R25" s="713"/>
      <c r="S25" s="963">
        <f t="shared" si="6"/>
        <v>10227.719808849575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45611</v>
      </c>
      <c r="C26" s="997" t="s">
        <v>1291</v>
      </c>
      <c r="D26" s="1002"/>
      <c r="E26" s="998">
        <v>7</v>
      </c>
      <c r="F26" s="640" t="s">
        <v>146</v>
      </c>
      <c r="G26" s="640" t="s">
        <v>147</v>
      </c>
      <c r="H26" s="640"/>
      <c r="I26" s="640"/>
      <c r="J26" s="640"/>
      <c r="K26" s="999">
        <v>1600</v>
      </c>
      <c r="L26" s="612">
        <v>7.0625</v>
      </c>
      <c r="M26" s="993">
        <f t="shared" si="5"/>
        <v>226.54867256637169</v>
      </c>
      <c r="N26" s="1009">
        <f t="shared" si="3"/>
        <v>70556.850000000108</v>
      </c>
      <c r="O26" s="1009">
        <f t="shared" si="4"/>
        <v>10001.170358834297</v>
      </c>
      <c r="P26" s="992" t="s">
        <v>1381</v>
      </c>
      <c r="Q26" s="713"/>
      <c r="R26" s="713"/>
      <c r="S26" s="963">
        <f t="shared" si="6"/>
        <v>10001.171136283203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45611</v>
      </c>
      <c r="C27" s="997" t="s">
        <v>445</v>
      </c>
      <c r="D27" s="1002"/>
      <c r="E27" s="998">
        <v>8</v>
      </c>
      <c r="F27" s="640" t="s">
        <v>107</v>
      </c>
      <c r="G27" s="640"/>
      <c r="H27" s="640"/>
      <c r="I27" s="640"/>
      <c r="J27" s="640"/>
      <c r="K27" s="999">
        <v>3.6</v>
      </c>
      <c r="L27" s="612">
        <v>7.0625</v>
      </c>
      <c r="M27" s="993">
        <f t="shared" si="5"/>
        <v>0.50973451327433628</v>
      </c>
      <c r="N27" s="1009">
        <f t="shared" si="3"/>
        <v>70553.250000000102</v>
      </c>
      <c r="O27" s="1009">
        <f t="shared" si="4"/>
        <v>10000.660624321023</v>
      </c>
      <c r="P27" s="992" t="s">
        <v>1381</v>
      </c>
      <c r="Q27" s="713"/>
      <c r="R27" s="713"/>
      <c r="S27" s="963">
        <f t="shared" si="6"/>
        <v>10000.661401769928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775">
        <v>45611</v>
      </c>
      <c r="C28" s="1027" t="s">
        <v>823</v>
      </c>
      <c r="D28" s="1001"/>
      <c r="E28" s="995">
        <v>9</v>
      </c>
      <c r="F28" s="778"/>
      <c r="G28" s="778"/>
      <c r="H28" s="1028">
        <v>276442.05</v>
      </c>
      <c r="I28" s="1028"/>
      <c r="J28" s="1028">
        <v>38324</v>
      </c>
      <c r="K28" s="996"/>
      <c r="L28" s="781"/>
      <c r="M28" s="993"/>
      <c r="N28" s="1029">
        <f t="shared" si="3"/>
        <v>346995.3000000001</v>
      </c>
      <c r="O28" s="1029">
        <f t="shared" si="4"/>
        <v>48324.660624321026</v>
      </c>
      <c r="P28" s="1008" t="s">
        <v>1380</v>
      </c>
      <c r="Q28" s="785"/>
      <c r="R28" s="785"/>
      <c r="S28" s="963"/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775">
        <v>45611</v>
      </c>
      <c r="C29" s="1027" t="s">
        <v>250</v>
      </c>
      <c r="D29" s="1001"/>
      <c r="E29" s="995">
        <v>9</v>
      </c>
      <c r="F29" s="778" t="s">
        <v>107</v>
      </c>
      <c r="G29" s="778"/>
      <c r="H29" s="778"/>
      <c r="I29" s="778"/>
      <c r="J29" s="778"/>
      <c r="K29" s="996"/>
      <c r="L29" s="781"/>
      <c r="M29" s="990">
        <v>51</v>
      </c>
      <c r="N29" s="1029">
        <f t="shared" si="3"/>
        <v>346995.3000000001</v>
      </c>
      <c r="O29" s="1029">
        <f t="shared" si="4"/>
        <v>48273.660624321026</v>
      </c>
      <c r="P29" s="1008" t="s">
        <v>1389</v>
      </c>
      <c r="Q29" s="785"/>
      <c r="R29" s="785"/>
      <c r="S29" s="963"/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45616</v>
      </c>
      <c r="C30" s="997" t="s">
        <v>305</v>
      </c>
      <c r="D30" s="1002"/>
      <c r="E30" s="998">
        <v>10</v>
      </c>
      <c r="F30" s="640" t="s">
        <v>105</v>
      </c>
      <c r="G30" s="640" t="s">
        <v>227</v>
      </c>
      <c r="H30" s="640"/>
      <c r="I30" s="640"/>
      <c r="J30" s="640"/>
      <c r="K30" s="999">
        <v>10500</v>
      </c>
      <c r="L30" s="612">
        <v>7.0625</v>
      </c>
      <c r="M30" s="993">
        <f t="shared" ref="M30:M37" si="7">K30/L30</f>
        <v>1486.7256637168141</v>
      </c>
      <c r="N30" s="1009">
        <f t="shared" ref="N30:N61" si="8">N29+H30-K30</f>
        <v>336495.3000000001</v>
      </c>
      <c r="O30" s="1009">
        <f t="shared" ref="O30:O61" si="9">O29+J30-M30</f>
        <v>46786.934960604209</v>
      </c>
      <c r="P30" s="992" t="s">
        <v>1381</v>
      </c>
      <c r="Q30" s="713"/>
      <c r="R30" s="713"/>
      <c r="S30" s="963">
        <f>S27-M30</f>
        <v>8513.9357380531146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45616</v>
      </c>
      <c r="C31" s="997" t="s">
        <v>1116</v>
      </c>
      <c r="D31" s="1002"/>
      <c r="E31" s="998">
        <v>10</v>
      </c>
      <c r="F31" s="640" t="s">
        <v>107</v>
      </c>
      <c r="G31" s="640"/>
      <c r="H31" s="640"/>
      <c r="I31" s="640"/>
      <c r="J31" s="640"/>
      <c r="K31" s="999">
        <v>6000</v>
      </c>
      <c r="L31" s="612">
        <v>7.0625</v>
      </c>
      <c r="M31" s="993">
        <f t="shared" si="7"/>
        <v>849.55752212389382</v>
      </c>
      <c r="N31" s="1009">
        <f t="shared" si="8"/>
        <v>330495.3000000001</v>
      </c>
      <c r="O31" s="1009">
        <f t="shared" si="9"/>
        <v>45937.377438480318</v>
      </c>
      <c r="P31" s="992" t="s">
        <v>1381</v>
      </c>
      <c r="Q31" s="713"/>
      <c r="R31" s="713"/>
      <c r="S31" s="963">
        <f t="shared" si="6"/>
        <v>7664.3782159292205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45616</v>
      </c>
      <c r="C32" s="997" t="s">
        <v>1117</v>
      </c>
      <c r="D32" s="1002"/>
      <c r="E32" s="998">
        <v>10</v>
      </c>
      <c r="F32" s="640" t="s">
        <v>107</v>
      </c>
      <c r="G32" s="640"/>
      <c r="H32" s="640"/>
      <c r="I32" s="640"/>
      <c r="J32" s="640"/>
      <c r="K32" s="999">
        <v>1350</v>
      </c>
      <c r="L32" s="612">
        <v>7.0625</v>
      </c>
      <c r="M32" s="993">
        <f t="shared" si="7"/>
        <v>191.15044247787611</v>
      </c>
      <c r="N32" s="1009">
        <f t="shared" si="8"/>
        <v>329145.3000000001</v>
      </c>
      <c r="O32" s="1009">
        <f t="shared" si="9"/>
        <v>45746.226996002442</v>
      </c>
      <c r="P32" s="992" t="s">
        <v>1381</v>
      </c>
      <c r="Q32" s="713"/>
      <c r="R32" s="713"/>
      <c r="S32" s="963">
        <f t="shared" si="6"/>
        <v>7473.2277734513445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45616</v>
      </c>
      <c r="C33" s="997" t="s">
        <v>305</v>
      </c>
      <c r="D33" s="1002"/>
      <c r="E33" s="998">
        <v>10</v>
      </c>
      <c r="F33" s="640" t="s">
        <v>105</v>
      </c>
      <c r="G33" s="640" t="s">
        <v>227</v>
      </c>
      <c r="H33" s="640"/>
      <c r="I33" s="640"/>
      <c r="J33" s="640"/>
      <c r="K33" s="999">
        <v>7000</v>
      </c>
      <c r="L33" s="612">
        <v>7.0625</v>
      </c>
      <c r="M33" s="993">
        <f t="shared" si="7"/>
        <v>991.15044247787614</v>
      </c>
      <c r="N33" s="1009">
        <f t="shared" si="8"/>
        <v>322145.3000000001</v>
      </c>
      <c r="O33" s="1009">
        <f t="shared" si="9"/>
        <v>44755.076553524566</v>
      </c>
      <c r="P33" s="992" t="s">
        <v>1381</v>
      </c>
      <c r="Q33" s="713"/>
      <c r="R33" s="713"/>
      <c r="S33" s="963">
        <f t="shared" si="6"/>
        <v>6482.0773309734686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45616</v>
      </c>
      <c r="C34" s="997" t="s">
        <v>1116</v>
      </c>
      <c r="D34" s="1002"/>
      <c r="E34" s="998">
        <v>10</v>
      </c>
      <c r="F34" s="640" t="s">
        <v>107</v>
      </c>
      <c r="G34" s="640"/>
      <c r="H34" s="640"/>
      <c r="I34" s="640"/>
      <c r="J34" s="640"/>
      <c r="K34" s="999">
        <v>6000</v>
      </c>
      <c r="L34" s="612">
        <v>7.0625</v>
      </c>
      <c r="M34" s="993">
        <f t="shared" si="7"/>
        <v>849.55752212389382</v>
      </c>
      <c r="N34" s="1009">
        <f t="shared" si="8"/>
        <v>316145.3000000001</v>
      </c>
      <c r="O34" s="1009">
        <f t="shared" si="9"/>
        <v>43905.519031400676</v>
      </c>
      <c r="P34" s="992" t="s">
        <v>1381</v>
      </c>
      <c r="Q34" s="713"/>
      <c r="R34" s="713"/>
      <c r="S34" s="963">
        <f t="shared" si="6"/>
        <v>5632.5198088495745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45616</v>
      </c>
      <c r="C35" s="997" t="s">
        <v>1117</v>
      </c>
      <c r="D35" s="1002"/>
      <c r="E35" s="998">
        <v>10</v>
      </c>
      <c r="F35" s="640" t="s">
        <v>107</v>
      </c>
      <c r="G35" s="640"/>
      <c r="H35" s="640"/>
      <c r="I35" s="640"/>
      <c r="J35" s="640"/>
      <c r="K35" s="999">
        <f>110+510</f>
        <v>620</v>
      </c>
      <c r="L35" s="612">
        <v>7.0625</v>
      </c>
      <c r="M35" s="993">
        <f t="shared" si="7"/>
        <v>87.787610619469021</v>
      </c>
      <c r="N35" s="1009">
        <f t="shared" si="8"/>
        <v>315525.3000000001</v>
      </c>
      <c r="O35" s="1009">
        <f t="shared" si="9"/>
        <v>43817.731420781209</v>
      </c>
      <c r="P35" s="992" t="s">
        <v>1381</v>
      </c>
      <c r="Q35" s="713"/>
      <c r="R35" s="713"/>
      <c r="S35" s="963">
        <f t="shared" si="6"/>
        <v>5544.7321982301055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45616</v>
      </c>
      <c r="C36" s="997" t="s">
        <v>445</v>
      </c>
      <c r="D36" s="1002"/>
      <c r="E36" s="998">
        <v>10</v>
      </c>
      <c r="F36" s="640" t="s">
        <v>107</v>
      </c>
      <c r="G36" s="640"/>
      <c r="H36" s="640"/>
      <c r="I36" s="640"/>
      <c r="J36" s="640"/>
      <c r="K36" s="999">
        <v>7.2</v>
      </c>
      <c r="L36" s="612">
        <v>7.0625</v>
      </c>
      <c r="M36" s="993">
        <f t="shared" si="7"/>
        <v>1.0194690265486726</v>
      </c>
      <c r="N36" s="1009">
        <f t="shared" si="8"/>
        <v>315518.10000000009</v>
      </c>
      <c r="O36" s="1009">
        <f t="shared" si="9"/>
        <v>43816.71195175466</v>
      </c>
      <c r="P36" s="992" t="s">
        <v>1381</v>
      </c>
      <c r="Q36" s="713"/>
      <c r="R36" s="713"/>
      <c r="S36" s="963">
        <f t="shared" si="6"/>
        <v>5543.7127292035566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45616</v>
      </c>
      <c r="C37" s="997" t="s">
        <v>892</v>
      </c>
      <c r="D37" s="1002"/>
      <c r="E37" s="998">
        <v>44</v>
      </c>
      <c r="F37" s="640" t="s">
        <v>107</v>
      </c>
      <c r="G37" s="640"/>
      <c r="H37" s="640"/>
      <c r="I37" s="640"/>
      <c r="J37" s="640"/>
      <c r="K37" s="999">
        <v>16000</v>
      </c>
      <c r="L37" s="612">
        <v>7.0625</v>
      </c>
      <c r="M37" s="993">
        <f t="shared" si="7"/>
        <v>2265.4867256637167</v>
      </c>
      <c r="N37" s="1009">
        <f t="shared" si="8"/>
        <v>299518.10000000009</v>
      </c>
      <c r="O37" s="1009">
        <f t="shared" si="9"/>
        <v>41551.225226090944</v>
      </c>
      <c r="P37" s="992" t="s">
        <v>1381</v>
      </c>
      <c r="Q37" s="713"/>
      <c r="R37" s="713"/>
      <c r="S37" s="963">
        <f t="shared" si="6"/>
        <v>3278.2260035398399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45616</v>
      </c>
      <c r="C38" s="997" t="s">
        <v>947</v>
      </c>
      <c r="D38" s="1002"/>
      <c r="E38" s="998">
        <v>44</v>
      </c>
      <c r="F38" s="640" t="s">
        <v>107</v>
      </c>
      <c r="G38" s="640"/>
      <c r="H38" s="640"/>
      <c r="I38" s="640"/>
      <c r="J38" s="640"/>
      <c r="K38" s="999">
        <f>M38*L38</f>
        <v>23152.471150000118</v>
      </c>
      <c r="L38" s="612">
        <v>7.0625</v>
      </c>
      <c r="M38" s="993">
        <v>3278.2260035398399</v>
      </c>
      <c r="N38" s="1009">
        <f t="shared" si="8"/>
        <v>276365.62884999998</v>
      </c>
      <c r="O38" s="1009">
        <f t="shared" si="9"/>
        <v>38272.999222551101</v>
      </c>
      <c r="P38" s="992" t="s">
        <v>1381</v>
      </c>
      <c r="Q38" s="713"/>
      <c r="R38" s="713"/>
      <c r="S38" s="963">
        <f t="shared" si="6"/>
        <v>0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45616</v>
      </c>
      <c r="C39" s="997" t="s">
        <v>947</v>
      </c>
      <c r="D39" s="1002"/>
      <c r="E39" s="998">
        <v>45</v>
      </c>
      <c r="F39" s="640" t="s">
        <v>107</v>
      </c>
      <c r="G39" s="640"/>
      <c r="H39" s="640"/>
      <c r="I39" s="640"/>
      <c r="J39" s="640"/>
      <c r="K39" s="999">
        <f>24000-K38</f>
        <v>847.52884999988237</v>
      </c>
      <c r="L39" s="612">
        <v>7.2228999555822639</v>
      </c>
      <c r="M39" s="990">
        <f t="shared" ref="M39:M78" si="10">K39/L39</f>
        <v>117.33913735643871</v>
      </c>
      <c r="N39" s="1009">
        <f t="shared" si="8"/>
        <v>275518.10000000009</v>
      </c>
      <c r="O39" s="1009">
        <f t="shared" si="9"/>
        <v>38155.660085194664</v>
      </c>
      <c r="P39" s="992" t="s">
        <v>1390</v>
      </c>
      <c r="Q39" s="713"/>
      <c r="R39" s="713"/>
      <c r="S39" s="963">
        <f>38273-M39</f>
        <v>38155.660862643563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45616</v>
      </c>
      <c r="C40" s="997" t="s">
        <v>894</v>
      </c>
      <c r="D40" s="1002"/>
      <c r="E40" s="998">
        <v>44</v>
      </c>
      <c r="F40" s="640" t="s">
        <v>107</v>
      </c>
      <c r="G40" s="640"/>
      <c r="H40" s="640"/>
      <c r="I40" s="640"/>
      <c r="J40" s="640"/>
      <c r="K40" s="999">
        <v>5145.1900000000005</v>
      </c>
      <c r="L40" s="612">
        <v>7.2228999555822639</v>
      </c>
      <c r="M40" s="990">
        <f t="shared" si="10"/>
        <v>712.34407670613075</v>
      </c>
      <c r="N40" s="1009">
        <f t="shared" si="8"/>
        <v>270372.91000000009</v>
      </c>
      <c r="O40" s="1009">
        <f t="shared" si="9"/>
        <v>37443.316008488531</v>
      </c>
      <c r="P40" s="992" t="s">
        <v>1390</v>
      </c>
      <c r="Q40" s="713"/>
      <c r="R40" s="713"/>
      <c r="S40" s="963">
        <f>S39-M40</f>
        <v>37443.31678593743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45616</v>
      </c>
      <c r="C41" s="997" t="s">
        <v>895</v>
      </c>
      <c r="D41" s="1002"/>
      <c r="E41" s="998">
        <v>44</v>
      </c>
      <c r="F41" s="640" t="s">
        <v>107</v>
      </c>
      <c r="G41" s="640"/>
      <c r="H41" s="640"/>
      <c r="I41" s="640"/>
      <c r="J41" s="640"/>
      <c r="K41" s="999">
        <v>8342</v>
      </c>
      <c r="L41" s="612">
        <v>7.2228999555822639</v>
      </c>
      <c r="M41" s="990">
        <f t="shared" si="10"/>
        <v>1154.9377744811254</v>
      </c>
      <c r="N41" s="1009">
        <f t="shared" si="8"/>
        <v>262030.91000000009</v>
      </c>
      <c r="O41" s="1009">
        <f t="shared" si="9"/>
        <v>36288.378234007403</v>
      </c>
      <c r="P41" s="992" t="s">
        <v>1390</v>
      </c>
      <c r="Q41" s="713"/>
      <c r="R41" s="713"/>
      <c r="S41" s="963">
        <f t="shared" ref="S41:S91" si="11">S40-M41</f>
        <v>36288.379011456302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45616</v>
      </c>
      <c r="C42" s="997" t="s">
        <v>899</v>
      </c>
      <c r="D42" s="1002"/>
      <c r="E42" s="998">
        <v>44</v>
      </c>
      <c r="F42" s="640" t="s">
        <v>107</v>
      </c>
      <c r="G42" s="640"/>
      <c r="H42" s="640"/>
      <c r="I42" s="640"/>
      <c r="J42" s="640"/>
      <c r="K42" s="999">
        <v>300</v>
      </c>
      <c r="L42" s="612">
        <v>7.2228999555822639</v>
      </c>
      <c r="M42" s="990">
        <f t="shared" si="10"/>
        <v>41.534563934828299</v>
      </c>
      <c r="N42" s="1009">
        <f t="shared" si="8"/>
        <v>261730.91000000009</v>
      </c>
      <c r="O42" s="1009">
        <f t="shared" si="9"/>
        <v>36246.843670072572</v>
      </c>
      <c r="P42" s="992" t="s">
        <v>1390</v>
      </c>
      <c r="Q42" s="713"/>
      <c r="R42" s="713"/>
      <c r="S42" s="963">
        <f t="shared" si="11"/>
        <v>36246.844447521471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45616</v>
      </c>
      <c r="C43" s="997" t="s">
        <v>892</v>
      </c>
      <c r="D43" s="1002"/>
      <c r="E43" s="998">
        <v>44</v>
      </c>
      <c r="F43" s="640" t="s">
        <v>107</v>
      </c>
      <c r="G43" s="640"/>
      <c r="H43" s="640"/>
      <c r="I43" s="640"/>
      <c r="J43" s="640"/>
      <c r="K43" s="999">
        <v>15000</v>
      </c>
      <c r="L43" s="612">
        <v>7.2228999555822639</v>
      </c>
      <c r="M43" s="990">
        <f t="shared" si="10"/>
        <v>2076.7281967414146</v>
      </c>
      <c r="N43" s="1009">
        <f t="shared" si="8"/>
        <v>246730.91000000009</v>
      </c>
      <c r="O43" s="1009">
        <f t="shared" si="9"/>
        <v>34170.115473331156</v>
      </c>
      <c r="P43" s="992" t="s">
        <v>1390</v>
      </c>
      <c r="Q43" s="713"/>
      <c r="R43" s="713"/>
      <c r="S43" s="963">
        <f t="shared" si="11"/>
        <v>34170.116250780055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45616</v>
      </c>
      <c r="C44" s="997" t="s">
        <v>947</v>
      </c>
      <c r="D44" s="1002"/>
      <c r="E44" s="998">
        <v>44</v>
      </c>
      <c r="F44" s="640" t="s">
        <v>107</v>
      </c>
      <c r="G44" s="640"/>
      <c r="H44" s="640"/>
      <c r="I44" s="640"/>
      <c r="J44" s="640"/>
      <c r="K44" s="999">
        <v>22000</v>
      </c>
      <c r="L44" s="612">
        <v>7.2228999555822639</v>
      </c>
      <c r="M44" s="990">
        <f t="shared" si="10"/>
        <v>3045.8680218874083</v>
      </c>
      <c r="N44" s="1009">
        <f t="shared" si="8"/>
        <v>224730.91000000009</v>
      </c>
      <c r="O44" s="1009">
        <f t="shared" si="9"/>
        <v>31124.247451443749</v>
      </c>
      <c r="P44" s="992" t="s">
        <v>1390</v>
      </c>
      <c r="Q44" s="713"/>
      <c r="R44" s="713"/>
      <c r="S44" s="963">
        <f t="shared" si="11"/>
        <v>31124.248228892648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45616</v>
      </c>
      <c r="C45" s="997" t="s">
        <v>894</v>
      </c>
      <c r="D45" s="1002"/>
      <c r="E45" s="998">
        <v>44</v>
      </c>
      <c r="F45" s="640" t="s">
        <v>107</v>
      </c>
      <c r="G45" s="640"/>
      <c r="H45" s="640"/>
      <c r="I45" s="640"/>
      <c r="J45" s="640"/>
      <c r="K45" s="999">
        <v>8576.1899999999987</v>
      </c>
      <c r="L45" s="612">
        <v>7.2228999555822639</v>
      </c>
      <c r="M45" s="990">
        <f t="shared" si="10"/>
        <v>1187.3610395741168</v>
      </c>
      <c r="N45" s="1009">
        <f t="shared" si="8"/>
        <v>216154.72000000009</v>
      </c>
      <c r="O45" s="1009">
        <f t="shared" si="9"/>
        <v>29936.886411869633</v>
      </c>
      <c r="P45" s="992" t="s">
        <v>1390</v>
      </c>
      <c r="Q45" s="713"/>
      <c r="R45" s="713"/>
      <c r="S45" s="963">
        <f t="shared" si="11"/>
        <v>29936.887189318531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45616</v>
      </c>
      <c r="C46" s="997" t="s">
        <v>895</v>
      </c>
      <c r="D46" s="1002"/>
      <c r="E46" s="998">
        <v>44</v>
      </c>
      <c r="F46" s="640" t="s">
        <v>107</v>
      </c>
      <c r="G46" s="640"/>
      <c r="H46" s="640"/>
      <c r="I46" s="640"/>
      <c r="J46" s="640"/>
      <c r="K46" s="999">
        <v>6502.5</v>
      </c>
      <c r="L46" s="612">
        <v>7.2228999555822639</v>
      </c>
      <c r="M46" s="990">
        <f t="shared" si="10"/>
        <v>900.26167328740337</v>
      </c>
      <c r="N46" s="1009">
        <f t="shared" si="8"/>
        <v>209652.22000000009</v>
      </c>
      <c r="O46" s="1009">
        <f t="shared" si="9"/>
        <v>29036.624738582228</v>
      </c>
      <c r="P46" s="992" t="s">
        <v>1390</v>
      </c>
      <c r="Q46" s="713"/>
      <c r="R46" s="713"/>
      <c r="S46" s="963">
        <f t="shared" si="11"/>
        <v>29036.625516031127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45616</v>
      </c>
      <c r="C47" s="997" t="s">
        <v>899</v>
      </c>
      <c r="D47" s="1002"/>
      <c r="E47" s="998">
        <v>44</v>
      </c>
      <c r="F47" s="640" t="s">
        <v>107</v>
      </c>
      <c r="G47" s="640"/>
      <c r="H47" s="640"/>
      <c r="I47" s="640"/>
      <c r="J47" s="640"/>
      <c r="K47" s="999">
        <v>300</v>
      </c>
      <c r="L47" s="612">
        <v>7.2228999555822639</v>
      </c>
      <c r="M47" s="990">
        <f t="shared" si="10"/>
        <v>41.534563934828299</v>
      </c>
      <c r="N47" s="1009">
        <f t="shared" si="8"/>
        <v>209352.22000000009</v>
      </c>
      <c r="O47" s="1009">
        <f t="shared" si="9"/>
        <v>28995.090174647401</v>
      </c>
      <c r="P47" s="992" t="s">
        <v>1390</v>
      </c>
      <c r="Q47" s="713"/>
      <c r="R47" s="713"/>
      <c r="S47" s="963">
        <f t="shared" si="11"/>
        <v>28995.0909520963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45616</v>
      </c>
      <c r="C48" s="997" t="s">
        <v>898</v>
      </c>
      <c r="D48" s="1002"/>
      <c r="E48" s="998">
        <v>44</v>
      </c>
      <c r="F48" s="640" t="s">
        <v>107</v>
      </c>
      <c r="G48" s="640"/>
      <c r="H48" s="640"/>
      <c r="I48" s="640"/>
      <c r="J48" s="640"/>
      <c r="K48" s="999">
        <v>25750</v>
      </c>
      <c r="L48" s="612">
        <v>7.2228999555822639</v>
      </c>
      <c r="M48" s="990">
        <f t="shared" si="10"/>
        <v>3565.050071072762</v>
      </c>
      <c r="N48" s="1009">
        <f t="shared" si="8"/>
        <v>183602.22000000009</v>
      </c>
      <c r="O48" s="1009">
        <f t="shared" si="9"/>
        <v>25430.04010357464</v>
      </c>
      <c r="P48" s="992" t="s">
        <v>1390</v>
      </c>
      <c r="Q48" s="713"/>
      <c r="R48" s="713"/>
      <c r="S48" s="963">
        <f t="shared" si="11"/>
        <v>25430.040881023539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45616</v>
      </c>
      <c r="C49" s="997" t="s">
        <v>948</v>
      </c>
      <c r="D49" s="1002"/>
      <c r="E49" s="998">
        <v>44</v>
      </c>
      <c r="F49" s="640" t="s">
        <v>107</v>
      </c>
      <c r="G49" s="640"/>
      <c r="H49" s="640"/>
      <c r="I49" s="640"/>
      <c r="J49" s="640"/>
      <c r="K49" s="999">
        <v>7173.94</v>
      </c>
      <c r="L49" s="612">
        <v>7.2228999555822639</v>
      </c>
      <c r="M49" s="990">
        <f t="shared" si="10"/>
        <v>993.22156531540691</v>
      </c>
      <c r="N49" s="1009">
        <f t="shared" si="8"/>
        <v>176428.28000000009</v>
      </c>
      <c r="O49" s="1009">
        <f t="shared" si="9"/>
        <v>24436.818538259235</v>
      </c>
      <c r="P49" s="992" t="s">
        <v>1390</v>
      </c>
      <c r="Q49" s="713"/>
      <c r="R49" s="713"/>
      <c r="S49" s="963">
        <f t="shared" si="11"/>
        <v>24436.819315708133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45616</v>
      </c>
      <c r="C50" s="997" t="s">
        <v>899</v>
      </c>
      <c r="D50" s="1002"/>
      <c r="E50" s="998">
        <v>44</v>
      </c>
      <c r="F50" s="640" t="s">
        <v>107</v>
      </c>
      <c r="G50" s="640"/>
      <c r="H50" s="640"/>
      <c r="I50" s="640"/>
      <c r="J50" s="640"/>
      <c r="K50" s="999">
        <v>300</v>
      </c>
      <c r="L50" s="612">
        <v>7.2228999555822639</v>
      </c>
      <c r="M50" s="990">
        <f t="shared" si="10"/>
        <v>41.534563934828299</v>
      </c>
      <c r="N50" s="1009">
        <f t="shared" si="8"/>
        <v>176128.28000000009</v>
      </c>
      <c r="O50" s="1009">
        <f t="shared" si="9"/>
        <v>24395.283974324408</v>
      </c>
      <c r="P50" s="992" t="s">
        <v>1390</v>
      </c>
      <c r="Q50" s="713"/>
      <c r="R50" s="713"/>
      <c r="S50" s="963">
        <f t="shared" si="11"/>
        <v>24395.284751773306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45616</v>
      </c>
      <c r="C51" s="997" t="s">
        <v>992</v>
      </c>
      <c r="D51" s="1002"/>
      <c r="E51" s="998">
        <v>44</v>
      </c>
      <c r="F51" s="640" t="s">
        <v>107</v>
      </c>
      <c r="G51" s="640"/>
      <c r="H51" s="640"/>
      <c r="I51" s="640"/>
      <c r="J51" s="640"/>
      <c r="K51" s="999">
        <v>1200</v>
      </c>
      <c r="L51" s="612">
        <v>7.2228999555822639</v>
      </c>
      <c r="M51" s="990">
        <f t="shared" si="10"/>
        <v>166.13825573931319</v>
      </c>
      <c r="N51" s="1009">
        <f t="shared" si="8"/>
        <v>174928.28000000009</v>
      </c>
      <c r="O51" s="1009">
        <f t="shared" si="9"/>
        <v>24229.145718585096</v>
      </c>
      <c r="P51" s="992" t="s">
        <v>1390</v>
      </c>
      <c r="Q51" s="713"/>
      <c r="R51" s="713"/>
      <c r="S51" s="963">
        <f t="shared" si="11"/>
        <v>24229.146496033994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45616</v>
      </c>
      <c r="C52" s="997" t="s">
        <v>898</v>
      </c>
      <c r="D52" s="1002"/>
      <c r="E52" s="998">
        <v>44</v>
      </c>
      <c r="F52" s="640" t="s">
        <v>107</v>
      </c>
      <c r="G52" s="640"/>
      <c r="H52" s="640"/>
      <c r="I52" s="640"/>
      <c r="J52" s="640"/>
      <c r="K52" s="999">
        <v>13390</v>
      </c>
      <c r="L52" s="612">
        <v>7.2228999555822639</v>
      </c>
      <c r="M52" s="990">
        <f t="shared" si="10"/>
        <v>1853.8260369578363</v>
      </c>
      <c r="N52" s="1009">
        <f t="shared" si="8"/>
        <v>161538.28000000009</v>
      </c>
      <c r="O52" s="1009">
        <f t="shared" si="9"/>
        <v>22375.319681627261</v>
      </c>
      <c r="P52" s="992" t="s">
        <v>1390</v>
      </c>
      <c r="Q52" s="713"/>
      <c r="R52" s="713"/>
      <c r="S52" s="963">
        <f t="shared" si="11"/>
        <v>22375.32045907616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45616</v>
      </c>
      <c r="C53" s="997" t="s">
        <v>948</v>
      </c>
      <c r="D53" s="1002"/>
      <c r="E53" s="998">
        <v>44</v>
      </c>
      <c r="F53" s="640" t="s">
        <v>107</v>
      </c>
      <c r="G53" s="640"/>
      <c r="H53" s="640"/>
      <c r="I53" s="640"/>
      <c r="J53" s="640"/>
      <c r="K53" s="999">
        <v>3147.67</v>
      </c>
      <c r="L53" s="612">
        <v>7.2228999555822639</v>
      </c>
      <c r="M53" s="990">
        <f t="shared" si="10"/>
        <v>435.79033620246997</v>
      </c>
      <c r="N53" s="1009">
        <f t="shared" si="8"/>
        <v>158390.61000000007</v>
      </c>
      <c r="O53" s="1009">
        <f t="shared" si="9"/>
        <v>21939.529345424791</v>
      </c>
      <c r="P53" s="992" t="s">
        <v>1390</v>
      </c>
      <c r="Q53" s="713"/>
      <c r="R53" s="713"/>
      <c r="S53" s="963">
        <f t="shared" si="11"/>
        <v>21939.53012287369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45616</v>
      </c>
      <c r="C54" s="997" t="s">
        <v>899</v>
      </c>
      <c r="D54" s="1002"/>
      <c r="E54" s="998">
        <v>44</v>
      </c>
      <c r="F54" s="640" t="s">
        <v>107</v>
      </c>
      <c r="G54" s="640"/>
      <c r="H54" s="640"/>
      <c r="I54" s="640"/>
      <c r="J54" s="640"/>
      <c r="K54" s="999">
        <v>300</v>
      </c>
      <c r="L54" s="612">
        <v>7.2228999555822639</v>
      </c>
      <c r="M54" s="990">
        <f t="shared" si="10"/>
        <v>41.534563934828299</v>
      </c>
      <c r="N54" s="1009">
        <f t="shared" si="8"/>
        <v>158090.61000000007</v>
      </c>
      <c r="O54" s="1009">
        <f t="shared" si="9"/>
        <v>21897.994781489964</v>
      </c>
      <c r="P54" s="992" t="s">
        <v>1390</v>
      </c>
      <c r="Q54" s="713"/>
      <c r="R54" s="713"/>
      <c r="S54" s="963">
        <f t="shared" si="11"/>
        <v>21897.995558938863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45616</v>
      </c>
      <c r="C55" s="997" t="s">
        <v>898</v>
      </c>
      <c r="D55" s="1002"/>
      <c r="E55" s="998">
        <v>44</v>
      </c>
      <c r="F55" s="640" t="s">
        <v>107</v>
      </c>
      <c r="G55" s="640"/>
      <c r="H55" s="640"/>
      <c r="I55" s="640"/>
      <c r="J55" s="640"/>
      <c r="K55" s="999">
        <v>25750</v>
      </c>
      <c r="L55" s="612">
        <v>7.2228999555822639</v>
      </c>
      <c r="M55" s="990">
        <f t="shared" si="10"/>
        <v>3565.050071072762</v>
      </c>
      <c r="N55" s="1009">
        <f t="shared" si="8"/>
        <v>132340.61000000007</v>
      </c>
      <c r="O55" s="1009">
        <f t="shared" si="9"/>
        <v>18332.944710417203</v>
      </c>
      <c r="P55" s="992" t="s">
        <v>1390</v>
      </c>
      <c r="Q55" s="713"/>
      <c r="R55" s="713"/>
      <c r="S55" s="963">
        <f t="shared" si="11"/>
        <v>18332.945487866102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45616</v>
      </c>
      <c r="C56" s="997" t="s">
        <v>948</v>
      </c>
      <c r="D56" s="1002"/>
      <c r="E56" s="998">
        <v>44</v>
      </c>
      <c r="F56" s="640" t="s">
        <v>107</v>
      </c>
      <c r="G56" s="640"/>
      <c r="H56" s="640"/>
      <c r="I56" s="640"/>
      <c r="J56" s="640"/>
      <c r="K56" s="999">
        <v>7173.94</v>
      </c>
      <c r="L56" s="612">
        <v>7.2228999555822639</v>
      </c>
      <c r="M56" s="990">
        <f t="shared" si="10"/>
        <v>993.22156531540691</v>
      </c>
      <c r="N56" s="1009">
        <f t="shared" si="8"/>
        <v>125166.67000000007</v>
      </c>
      <c r="O56" s="1009">
        <f t="shared" si="9"/>
        <v>17339.723145101798</v>
      </c>
      <c r="P56" s="992" t="s">
        <v>1390</v>
      </c>
      <c r="Q56" s="713"/>
      <c r="R56" s="713"/>
      <c r="S56" s="963">
        <f t="shared" si="11"/>
        <v>17339.723922550696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45616</v>
      </c>
      <c r="C57" s="997" t="s">
        <v>899</v>
      </c>
      <c r="D57" s="1002"/>
      <c r="E57" s="998">
        <v>44</v>
      </c>
      <c r="F57" s="640" t="s">
        <v>107</v>
      </c>
      <c r="G57" s="640"/>
      <c r="H57" s="640"/>
      <c r="I57" s="640"/>
      <c r="J57" s="640"/>
      <c r="K57" s="999">
        <v>300</v>
      </c>
      <c r="L57" s="612">
        <v>7.2228999555822639</v>
      </c>
      <c r="M57" s="990">
        <f t="shared" si="10"/>
        <v>41.534563934828299</v>
      </c>
      <c r="N57" s="1009">
        <f t="shared" si="8"/>
        <v>124866.67000000007</v>
      </c>
      <c r="O57" s="1009">
        <f t="shared" si="9"/>
        <v>17298.188581166971</v>
      </c>
      <c r="P57" s="992" t="s">
        <v>1390</v>
      </c>
      <c r="Q57" s="713"/>
      <c r="R57" s="713"/>
      <c r="S57" s="963">
        <f t="shared" si="11"/>
        <v>17298.189358615869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45616</v>
      </c>
      <c r="C58" s="997" t="s">
        <v>445</v>
      </c>
      <c r="D58" s="1002"/>
      <c r="E58" s="998">
        <v>45</v>
      </c>
      <c r="F58" s="640" t="s">
        <v>107</v>
      </c>
      <c r="G58" s="640"/>
      <c r="H58" s="640"/>
      <c r="I58" s="640"/>
      <c r="J58" s="640"/>
      <c r="K58" s="999">
        <v>12</v>
      </c>
      <c r="L58" s="612">
        <v>7.2228999555822639</v>
      </c>
      <c r="M58" s="990">
        <f t="shared" si="10"/>
        <v>1.6613825573931318</v>
      </c>
      <c r="N58" s="1009">
        <f t="shared" si="8"/>
        <v>124854.67000000007</v>
      </c>
      <c r="O58" s="1009">
        <f t="shared" si="9"/>
        <v>17296.52719860958</v>
      </c>
      <c r="P58" s="992" t="s">
        <v>1390</v>
      </c>
      <c r="Q58" s="713"/>
      <c r="R58" s="713"/>
      <c r="S58" s="963">
        <f t="shared" si="11"/>
        <v>17296.527976058478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45616</v>
      </c>
      <c r="C59" s="997" t="s">
        <v>306</v>
      </c>
      <c r="D59" s="1002"/>
      <c r="E59" s="998">
        <v>11</v>
      </c>
      <c r="F59" s="640" t="s">
        <v>107</v>
      </c>
      <c r="G59" s="640"/>
      <c r="H59" s="640"/>
      <c r="I59" s="640"/>
      <c r="J59" s="640"/>
      <c r="K59" s="999">
        <v>1010</v>
      </c>
      <c r="L59" s="612">
        <v>7.2228999555822639</v>
      </c>
      <c r="M59" s="990">
        <f t="shared" si="10"/>
        <v>139.83303191392193</v>
      </c>
      <c r="N59" s="1009">
        <f t="shared" si="8"/>
        <v>123844.67000000007</v>
      </c>
      <c r="O59" s="1009">
        <f t="shared" si="9"/>
        <v>17156.694166695659</v>
      </c>
      <c r="P59" s="992" t="s">
        <v>1390</v>
      </c>
      <c r="Q59" s="713"/>
      <c r="R59" s="713"/>
      <c r="S59" s="963">
        <f t="shared" si="11"/>
        <v>17156.694944144558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>
      <c r="A60" s="614"/>
      <c r="B60" s="639">
        <v>45616</v>
      </c>
      <c r="C60" s="997" t="s">
        <v>445</v>
      </c>
      <c r="D60" s="1002"/>
      <c r="E60" s="998">
        <v>12</v>
      </c>
      <c r="F60" s="640" t="s">
        <v>107</v>
      </c>
      <c r="G60" s="640"/>
      <c r="H60" s="640"/>
      <c r="I60" s="640"/>
      <c r="J60" s="640"/>
      <c r="K60" s="999">
        <v>3.6</v>
      </c>
      <c r="L60" s="612">
        <v>7.2228999555822639</v>
      </c>
      <c r="M60" s="990">
        <f t="shared" si="10"/>
        <v>0.49841476721793954</v>
      </c>
      <c r="N60" s="1009">
        <f t="shared" si="8"/>
        <v>123841.07000000007</v>
      </c>
      <c r="O60" s="1009">
        <f t="shared" si="9"/>
        <v>17156.195751928441</v>
      </c>
      <c r="P60" s="992" t="s">
        <v>1390</v>
      </c>
      <c r="Q60" s="713"/>
      <c r="R60" s="713"/>
      <c r="S60" s="963">
        <f t="shared" si="11"/>
        <v>17156.196529377339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45616</v>
      </c>
      <c r="C61" s="997" t="s">
        <v>1386</v>
      </c>
      <c r="D61" s="1002"/>
      <c r="E61" s="998">
        <v>13</v>
      </c>
      <c r="F61" s="640" t="s">
        <v>146</v>
      </c>
      <c r="G61" s="640" t="s">
        <v>147</v>
      </c>
      <c r="H61" s="640"/>
      <c r="I61" s="640"/>
      <c r="J61" s="640"/>
      <c r="K61" s="999">
        <v>141</v>
      </c>
      <c r="L61" s="612">
        <v>7.2228999555822639</v>
      </c>
      <c r="M61" s="990">
        <f t="shared" si="10"/>
        <v>19.521245049369298</v>
      </c>
      <c r="N61" s="1009">
        <f t="shared" si="8"/>
        <v>123700.07000000007</v>
      </c>
      <c r="O61" s="1009">
        <f t="shared" si="9"/>
        <v>17136.67450687907</v>
      </c>
      <c r="P61" s="992" t="s">
        <v>1390</v>
      </c>
      <c r="Q61" s="713"/>
      <c r="R61" s="713"/>
      <c r="S61" s="963">
        <f t="shared" si="11"/>
        <v>17136.675284327968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45616</v>
      </c>
      <c r="C62" s="997" t="s">
        <v>1387</v>
      </c>
      <c r="D62" s="1002"/>
      <c r="E62" s="998">
        <v>14</v>
      </c>
      <c r="F62" s="640" t="s">
        <v>146</v>
      </c>
      <c r="G62" s="640" t="s">
        <v>147</v>
      </c>
      <c r="H62" s="640"/>
      <c r="I62" s="640"/>
      <c r="J62" s="640"/>
      <c r="K62" s="640">
        <v>1410.1</v>
      </c>
      <c r="L62" s="612">
        <v>7.2228999555822639</v>
      </c>
      <c r="M62" s="990">
        <f t="shared" si="10"/>
        <v>195.22629534833791</v>
      </c>
      <c r="N62" s="1009">
        <f t="shared" ref="N62:N78" si="12">N61+H62-K62</f>
        <v>122289.97000000006</v>
      </c>
      <c r="O62" s="1009">
        <f t="shared" ref="O62:O78" si="13">O61+J62-M62</f>
        <v>16941.448211530733</v>
      </c>
      <c r="P62" s="992" t="s">
        <v>1390</v>
      </c>
      <c r="Q62" s="713"/>
      <c r="R62" s="713" t="s">
        <v>1394</v>
      </c>
      <c r="S62" s="963">
        <f t="shared" si="11"/>
        <v>16941.448988979631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45616</v>
      </c>
      <c r="C63" s="997" t="s">
        <v>1388</v>
      </c>
      <c r="D63" s="1002"/>
      <c r="E63" s="998">
        <v>15</v>
      </c>
      <c r="F63" s="640" t="s">
        <v>146</v>
      </c>
      <c r="G63" s="640" t="s">
        <v>147</v>
      </c>
      <c r="H63" s="640"/>
      <c r="I63" s="640"/>
      <c r="J63" s="640"/>
      <c r="K63" s="999">
        <v>171</v>
      </c>
      <c r="L63" s="612">
        <v>7.2228999555822639</v>
      </c>
      <c r="M63" s="990">
        <f t="shared" si="10"/>
        <v>23.674701442852129</v>
      </c>
      <c r="N63" s="1009">
        <f t="shared" si="12"/>
        <v>122118.97000000006</v>
      </c>
      <c r="O63" s="1009">
        <f t="shared" si="13"/>
        <v>16917.773510087882</v>
      </c>
      <c r="P63" s="992" t="s">
        <v>1390</v>
      </c>
      <c r="Q63" s="713"/>
      <c r="R63" s="713"/>
      <c r="S63" s="963">
        <f t="shared" si="11"/>
        <v>16917.77428753678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45616</v>
      </c>
      <c r="C64" s="997" t="s">
        <v>250</v>
      </c>
      <c r="D64" s="1002"/>
      <c r="E64" s="998">
        <v>16</v>
      </c>
      <c r="F64" s="640" t="s">
        <v>107</v>
      </c>
      <c r="G64" s="640"/>
      <c r="H64" s="640"/>
      <c r="I64" s="640"/>
      <c r="J64" s="640"/>
      <c r="K64" s="999">
        <v>3.6</v>
      </c>
      <c r="L64" s="612">
        <v>7.2228999555822639</v>
      </c>
      <c r="M64" s="990">
        <f t="shared" si="10"/>
        <v>0.49841476721793954</v>
      </c>
      <c r="N64" s="1009">
        <f t="shared" si="12"/>
        <v>122115.37000000005</v>
      </c>
      <c r="O64" s="1009">
        <f t="shared" si="13"/>
        <v>16917.275095320663</v>
      </c>
      <c r="P64" s="992" t="s">
        <v>1390</v>
      </c>
      <c r="Q64" s="713"/>
      <c r="R64" s="713"/>
      <c r="S64" s="963">
        <f t="shared" si="11"/>
        <v>16917.275872769562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45616</v>
      </c>
      <c r="C65" s="997" t="s">
        <v>1020</v>
      </c>
      <c r="D65" s="1002"/>
      <c r="E65" s="998">
        <v>17</v>
      </c>
      <c r="F65" s="640" t="s">
        <v>116</v>
      </c>
      <c r="G65" s="640" t="s">
        <v>140</v>
      </c>
      <c r="H65" s="640"/>
      <c r="I65" s="640"/>
      <c r="J65" s="640"/>
      <c r="K65" s="999">
        <v>299.39999999999998</v>
      </c>
      <c r="L65" s="612">
        <v>7.2228999555822639</v>
      </c>
      <c r="M65" s="990">
        <f t="shared" si="10"/>
        <v>41.451494806958635</v>
      </c>
      <c r="N65" s="1009">
        <f t="shared" si="12"/>
        <v>121815.97000000006</v>
      </c>
      <c r="O65" s="1009">
        <f t="shared" si="13"/>
        <v>16875.823600513704</v>
      </c>
      <c r="P65" s="992" t="s">
        <v>1390</v>
      </c>
      <c r="Q65" s="713"/>
      <c r="R65" s="713"/>
      <c r="S65" s="963">
        <f t="shared" si="11"/>
        <v>16875.824377962603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45616</v>
      </c>
      <c r="C66" s="997" t="s">
        <v>1099</v>
      </c>
      <c r="D66" s="1002"/>
      <c r="E66" s="998">
        <v>18</v>
      </c>
      <c r="F66" s="640" t="s">
        <v>146</v>
      </c>
      <c r="G66" s="640" t="s">
        <v>147</v>
      </c>
      <c r="H66" s="640"/>
      <c r="I66" s="640"/>
      <c r="J66" s="640"/>
      <c r="K66" s="999">
        <v>521.64</v>
      </c>
      <c r="L66" s="612">
        <v>7.2228999555822639</v>
      </c>
      <c r="M66" s="990">
        <f t="shared" si="10"/>
        <v>72.220299769879432</v>
      </c>
      <c r="N66" s="1009">
        <f t="shared" si="12"/>
        <v>121294.33000000006</v>
      </c>
      <c r="O66" s="1009">
        <f t="shared" si="13"/>
        <v>16803.603300743824</v>
      </c>
      <c r="P66" s="992" t="s">
        <v>1390</v>
      </c>
      <c r="Q66" s="713"/>
      <c r="R66" s="713"/>
      <c r="S66" s="963">
        <f t="shared" si="11"/>
        <v>16803.604078192722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45616</v>
      </c>
      <c r="C67" s="997" t="s">
        <v>1016</v>
      </c>
      <c r="D67" s="1002"/>
      <c r="E67" s="998">
        <v>19</v>
      </c>
      <c r="F67" s="640" t="s">
        <v>107</v>
      </c>
      <c r="G67" s="640"/>
      <c r="H67" s="640"/>
      <c r="I67" s="640"/>
      <c r="J67" s="640"/>
      <c r="K67" s="999">
        <v>427.8</v>
      </c>
      <c r="L67" s="612">
        <v>7.2228999555822639</v>
      </c>
      <c r="M67" s="990">
        <f t="shared" si="10"/>
        <v>59.228288171065152</v>
      </c>
      <c r="N67" s="1009">
        <f t="shared" si="12"/>
        <v>120866.53000000006</v>
      </c>
      <c r="O67" s="1009">
        <f t="shared" si="13"/>
        <v>16744.37501257276</v>
      </c>
      <c r="P67" s="992" t="s">
        <v>1390</v>
      </c>
      <c r="Q67" s="713"/>
      <c r="R67" s="713"/>
      <c r="S67" s="963">
        <f t="shared" si="11"/>
        <v>16744.375790021659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45616</v>
      </c>
      <c r="C68" s="997" t="s">
        <v>250</v>
      </c>
      <c r="D68" s="1002"/>
      <c r="E68" s="998">
        <v>20</v>
      </c>
      <c r="F68" s="640" t="s">
        <v>107</v>
      </c>
      <c r="G68" s="640"/>
      <c r="H68" s="640"/>
      <c r="I68" s="640"/>
      <c r="J68" s="640"/>
      <c r="K68" s="999">
        <v>3.6</v>
      </c>
      <c r="L68" s="612">
        <v>7.2228999555822639</v>
      </c>
      <c r="M68" s="990">
        <f t="shared" si="10"/>
        <v>0.49841476721793954</v>
      </c>
      <c r="N68" s="1009">
        <f t="shared" si="12"/>
        <v>120862.93000000005</v>
      </c>
      <c r="O68" s="1009">
        <f t="shared" si="13"/>
        <v>16743.876597805542</v>
      </c>
      <c r="P68" s="992" t="s">
        <v>1390</v>
      </c>
      <c r="Q68" s="713"/>
      <c r="R68" s="713"/>
      <c r="S68" s="963">
        <f t="shared" si="11"/>
        <v>16743.87737525444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45616</v>
      </c>
      <c r="C69" s="997" t="s">
        <v>1165</v>
      </c>
      <c r="D69" s="1002"/>
      <c r="E69" s="998">
        <v>21</v>
      </c>
      <c r="F69" s="640" t="s">
        <v>146</v>
      </c>
      <c r="G69" s="640" t="s">
        <v>147</v>
      </c>
      <c r="H69" s="640"/>
      <c r="I69" s="640"/>
      <c r="J69" s="640"/>
      <c r="K69" s="999">
        <v>9625</v>
      </c>
      <c r="L69" s="612">
        <v>7.2228999555822639</v>
      </c>
      <c r="M69" s="990">
        <f t="shared" si="10"/>
        <v>1332.5672595757412</v>
      </c>
      <c r="N69" s="1009">
        <f t="shared" si="12"/>
        <v>111237.93000000005</v>
      </c>
      <c r="O69" s="1009">
        <f t="shared" si="13"/>
        <v>15411.309338229801</v>
      </c>
      <c r="P69" s="992" t="s">
        <v>1390</v>
      </c>
      <c r="Q69" s="713"/>
      <c r="R69" s="713"/>
      <c r="S69" s="963">
        <f t="shared" si="11"/>
        <v>15411.3101156787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45616</v>
      </c>
      <c r="C70" s="997" t="s">
        <v>1344</v>
      </c>
      <c r="D70" s="1002"/>
      <c r="E70" s="998">
        <v>22</v>
      </c>
      <c r="F70" s="640" t="s">
        <v>146</v>
      </c>
      <c r="G70" s="640" t="s">
        <v>147</v>
      </c>
      <c r="H70" s="640"/>
      <c r="I70" s="640"/>
      <c r="J70" s="640"/>
      <c r="K70" s="999">
        <v>1316.76</v>
      </c>
      <c r="L70" s="612">
        <v>7.2228999555822639</v>
      </c>
      <c r="M70" s="990">
        <f t="shared" si="10"/>
        <v>182.30350802274836</v>
      </c>
      <c r="N70" s="1009">
        <f t="shared" si="12"/>
        <v>109921.17000000006</v>
      </c>
      <c r="O70" s="1009">
        <f t="shared" si="13"/>
        <v>15229.005830207052</v>
      </c>
      <c r="P70" s="992" t="s">
        <v>1390</v>
      </c>
      <c r="Q70" s="713"/>
      <c r="R70" s="713"/>
      <c r="S70" s="963">
        <f t="shared" si="11"/>
        <v>15229.006607655951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45616</v>
      </c>
      <c r="C71" s="997" t="s">
        <v>852</v>
      </c>
      <c r="D71" s="1002"/>
      <c r="E71" s="998">
        <v>23</v>
      </c>
      <c r="F71" s="640" t="s">
        <v>107</v>
      </c>
      <c r="G71" s="640"/>
      <c r="H71" s="640"/>
      <c r="I71" s="640"/>
      <c r="J71" s="640"/>
      <c r="K71" s="999">
        <v>126</v>
      </c>
      <c r="L71" s="612">
        <v>7.2228999555822639</v>
      </c>
      <c r="M71" s="990">
        <f t="shared" si="10"/>
        <v>17.444516852627885</v>
      </c>
      <c r="N71" s="1009">
        <f t="shared" si="12"/>
        <v>109795.17000000006</v>
      </c>
      <c r="O71" s="1009">
        <f t="shared" si="13"/>
        <v>15211.561313354425</v>
      </c>
      <c r="P71" s="992" t="s">
        <v>1390</v>
      </c>
      <c r="Q71" s="713"/>
      <c r="R71" s="713"/>
      <c r="S71" s="963">
        <f t="shared" si="11"/>
        <v>15211.562090803323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45616</v>
      </c>
      <c r="C72" s="997" t="s">
        <v>851</v>
      </c>
      <c r="D72" s="1002"/>
      <c r="E72" s="998">
        <v>24</v>
      </c>
      <c r="F72" s="640" t="s">
        <v>116</v>
      </c>
      <c r="G72" s="640" t="s">
        <v>140</v>
      </c>
      <c r="H72" s="640"/>
      <c r="I72" s="640"/>
      <c r="J72" s="640"/>
      <c r="K72" s="999">
        <v>149</v>
      </c>
      <c r="L72" s="612">
        <v>7.2228999555822639</v>
      </c>
      <c r="M72" s="990">
        <f t="shared" si="10"/>
        <v>20.628833420964721</v>
      </c>
      <c r="N72" s="1009">
        <f t="shared" si="12"/>
        <v>109646.17000000006</v>
      </c>
      <c r="O72" s="1009">
        <f t="shared" si="13"/>
        <v>15190.932479933461</v>
      </c>
      <c r="P72" s="992" t="s">
        <v>1390</v>
      </c>
      <c r="Q72" s="713"/>
      <c r="R72" s="713"/>
      <c r="S72" s="963">
        <f t="shared" si="11"/>
        <v>15190.933257382359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45616</v>
      </c>
      <c r="C73" s="997" t="s">
        <v>250</v>
      </c>
      <c r="D73" s="1002"/>
      <c r="E73" s="998">
        <v>25</v>
      </c>
      <c r="F73" s="640" t="s">
        <v>107</v>
      </c>
      <c r="G73" s="640"/>
      <c r="H73" s="640"/>
      <c r="I73" s="640"/>
      <c r="J73" s="640"/>
      <c r="K73" s="999">
        <v>7.2</v>
      </c>
      <c r="L73" s="612">
        <v>7.2228999555822639</v>
      </c>
      <c r="M73" s="990">
        <f t="shared" si="10"/>
        <v>0.99682953443587907</v>
      </c>
      <c r="N73" s="1009">
        <f t="shared" si="12"/>
        <v>109638.97000000006</v>
      </c>
      <c r="O73" s="1009">
        <f t="shared" si="13"/>
        <v>15189.935650399026</v>
      </c>
      <c r="P73" s="992" t="s">
        <v>1390</v>
      </c>
      <c r="Q73" s="713"/>
      <c r="R73" s="713"/>
      <c r="S73" s="963">
        <f t="shared" si="11"/>
        <v>15189.936427847924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45616</v>
      </c>
      <c r="C74" s="997" t="s">
        <v>1309</v>
      </c>
      <c r="D74" s="1002"/>
      <c r="E74" s="998">
        <v>26</v>
      </c>
      <c r="F74" s="640" t="s">
        <v>146</v>
      </c>
      <c r="G74" s="640" t="s">
        <v>147</v>
      </c>
      <c r="H74" s="640"/>
      <c r="I74" s="640"/>
      <c r="J74" s="640"/>
      <c r="K74" s="999">
        <v>815.16</v>
      </c>
      <c r="L74" s="612">
        <v>7.2228999555822639</v>
      </c>
      <c r="M74" s="990">
        <f t="shared" si="10"/>
        <v>112.85771712371545</v>
      </c>
      <c r="N74" s="1009">
        <f t="shared" si="12"/>
        <v>108823.81000000006</v>
      </c>
      <c r="O74" s="1009">
        <f t="shared" si="13"/>
        <v>15077.07793327531</v>
      </c>
      <c r="P74" s="992" t="s">
        <v>1390</v>
      </c>
      <c r="Q74" s="713"/>
      <c r="R74" s="713"/>
      <c r="S74" s="963">
        <f t="shared" si="11"/>
        <v>15077.078710724209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45616</v>
      </c>
      <c r="C75" s="997" t="s">
        <v>1261</v>
      </c>
      <c r="D75" s="1002"/>
      <c r="E75" s="998">
        <v>27</v>
      </c>
      <c r="F75" s="640" t="s">
        <v>116</v>
      </c>
      <c r="G75" s="640" t="s">
        <v>140</v>
      </c>
      <c r="H75" s="640"/>
      <c r="I75" s="640"/>
      <c r="J75" s="640"/>
      <c r="K75" s="999">
        <v>299.2</v>
      </c>
      <c r="L75" s="612">
        <v>7.2228999555822639</v>
      </c>
      <c r="M75" s="990">
        <f t="shared" si="10"/>
        <v>41.423805097668755</v>
      </c>
      <c r="N75" s="1009">
        <f t="shared" si="12"/>
        <v>108524.61000000006</v>
      </c>
      <c r="O75" s="1009">
        <f t="shared" si="13"/>
        <v>15035.654128177641</v>
      </c>
      <c r="P75" s="992" t="s">
        <v>1390</v>
      </c>
      <c r="Q75" s="713"/>
      <c r="R75" s="713"/>
      <c r="S75" s="963">
        <f t="shared" si="11"/>
        <v>15035.654905626539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45616</v>
      </c>
      <c r="C76" s="997" t="s">
        <v>1262</v>
      </c>
      <c r="D76" s="1002"/>
      <c r="E76" s="998">
        <v>28</v>
      </c>
      <c r="F76" s="640" t="s">
        <v>107</v>
      </c>
      <c r="G76" s="640"/>
      <c r="H76" s="640"/>
      <c r="I76" s="640"/>
      <c r="J76" s="640"/>
      <c r="K76" s="999">
        <v>28</v>
      </c>
      <c r="L76" s="612">
        <v>7.2228999555822639</v>
      </c>
      <c r="M76" s="990">
        <f t="shared" si="10"/>
        <v>3.8765593005839745</v>
      </c>
      <c r="N76" s="1009">
        <f t="shared" si="12"/>
        <v>108496.61000000006</v>
      </c>
      <c r="O76" s="1009">
        <f t="shared" si="13"/>
        <v>15031.777568877056</v>
      </c>
      <c r="P76" s="992" t="s">
        <v>1390</v>
      </c>
      <c r="Q76" s="713"/>
      <c r="R76" s="713"/>
      <c r="S76" s="963">
        <f t="shared" si="11"/>
        <v>15031.778346325955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45616</v>
      </c>
      <c r="C77" s="997" t="s">
        <v>1308</v>
      </c>
      <c r="D77" s="1002"/>
      <c r="E77" s="998">
        <v>29</v>
      </c>
      <c r="F77" s="640" t="s">
        <v>125</v>
      </c>
      <c r="G77" s="640" t="s">
        <v>145</v>
      </c>
      <c r="H77" s="640"/>
      <c r="I77" s="640"/>
      <c r="J77" s="640"/>
      <c r="K77" s="999">
        <v>8141.83</v>
      </c>
      <c r="L77" s="612">
        <v>7.2228999555822639</v>
      </c>
      <c r="M77" s="990">
        <f t="shared" si="10"/>
        <v>1127.2245289383436</v>
      </c>
      <c r="N77" s="1009">
        <f t="shared" si="12"/>
        <v>100354.78000000006</v>
      </c>
      <c r="O77" s="1009">
        <f t="shared" si="13"/>
        <v>13904.553039938713</v>
      </c>
      <c r="P77" s="992" t="s">
        <v>1390</v>
      </c>
      <c r="Q77" s="713"/>
      <c r="R77" s="713"/>
      <c r="S77" s="963">
        <f t="shared" si="11"/>
        <v>13904.553817387612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45616</v>
      </c>
      <c r="C78" s="997" t="s">
        <v>250</v>
      </c>
      <c r="D78" s="1002"/>
      <c r="E78" s="998">
        <v>30</v>
      </c>
      <c r="F78" s="640" t="s">
        <v>107</v>
      </c>
      <c r="G78" s="640"/>
      <c r="H78" s="640"/>
      <c r="I78" s="640"/>
      <c r="J78" s="640"/>
      <c r="K78" s="999">
        <v>3.6</v>
      </c>
      <c r="L78" s="612">
        <v>7.2228999555822639</v>
      </c>
      <c r="M78" s="990">
        <f t="shared" si="10"/>
        <v>0.49841476721793954</v>
      </c>
      <c r="N78" s="1009">
        <f t="shared" si="12"/>
        <v>100351.18000000005</v>
      </c>
      <c r="O78" s="1009">
        <f t="shared" si="13"/>
        <v>13904.054625171495</v>
      </c>
      <c r="P78" s="992" t="s">
        <v>1390</v>
      </c>
      <c r="Q78" s="713"/>
      <c r="R78" s="713"/>
      <c r="S78" s="963">
        <f t="shared" si="11"/>
        <v>13904.055402620394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45617</v>
      </c>
      <c r="C79" s="997" t="s">
        <v>1345</v>
      </c>
      <c r="D79" s="1002"/>
      <c r="E79" s="998">
        <v>31</v>
      </c>
      <c r="F79" s="640" t="s">
        <v>116</v>
      </c>
      <c r="G79" s="640" t="s">
        <v>140</v>
      </c>
      <c r="H79" s="640"/>
      <c r="I79" s="640"/>
      <c r="J79" s="640"/>
      <c r="K79" s="999">
        <v>917.2</v>
      </c>
      <c r="L79" s="612">
        <v>7.2228999555822639</v>
      </c>
      <c r="M79" s="990">
        <f t="shared" ref="M79:M91" si="14">K79/L79</f>
        <v>126.98500680341505</v>
      </c>
      <c r="N79" s="1009">
        <f t="shared" ref="N79:N84" si="15">N78+H79-K79</f>
        <v>99433.980000000054</v>
      </c>
      <c r="O79" s="1009">
        <f t="shared" ref="O79:O84" si="16">O78+J79-M79</f>
        <v>13777.069618368079</v>
      </c>
      <c r="P79" s="992" t="s">
        <v>1390</v>
      </c>
      <c r="Q79" s="713"/>
      <c r="R79" s="713"/>
      <c r="S79" s="963">
        <f t="shared" si="11"/>
        <v>13777.070395816978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45617</v>
      </c>
      <c r="C80" s="997" t="s">
        <v>1379</v>
      </c>
      <c r="D80" s="1002"/>
      <c r="E80" s="998">
        <v>32</v>
      </c>
      <c r="F80" s="640" t="s">
        <v>107</v>
      </c>
      <c r="G80" s="640"/>
      <c r="H80" s="640"/>
      <c r="I80" s="640"/>
      <c r="J80" s="640"/>
      <c r="K80" s="999">
        <v>180.12</v>
      </c>
      <c r="L80" s="612">
        <v>7.2228999555822639</v>
      </c>
      <c r="M80" s="990">
        <f t="shared" si="14"/>
        <v>24.93735218647091</v>
      </c>
      <c r="N80" s="1009">
        <f t="shared" si="15"/>
        <v>99253.860000000059</v>
      </c>
      <c r="O80" s="1009">
        <f t="shared" si="16"/>
        <v>13752.132266181608</v>
      </c>
      <c r="P80" s="992" t="s">
        <v>1390</v>
      </c>
      <c r="Q80" s="713"/>
      <c r="R80" s="713"/>
      <c r="S80" s="963">
        <f t="shared" si="11"/>
        <v>13752.133043630507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45617</v>
      </c>
      <c r="C81" s="997" t="s">
        <v>844</v>
      </c>
      <c r="D81" s="1002"/>
      <c r="E81" s="998">
        <v>33</v>
      </c>
      <c r="F81" s="640" t="s">
        <v>146</v>
      </c>
      <c r="G81" s="640" t="s">
        <v>147</v>
      </c>
      <c r="H81" s="640"/>
      <c r="I81" s="640"/>
      <c r="J81" s="640"/>
      <c r="K81" s="999">
        <v>50.75</v>
      </c>
      <c r="L81" s="612">
        <v>7.2228999555822639</v>
      </c>
      <c r="M81" s="990">
        <f t="shared" si="14"/>
        <v>7.0262637323084531</v>
      </c>
      <c r="N81" s="1009">
        <f t="shared" si="15"/>
        <v>99203.110000000059</v>
      </c>
      <c r="O81" s="1009">
        <f t="shared" si="16"/>
        <v>13745.1060024493</v>
      </c>
      <c r="P81" s="992" t="s">
        <v>1390</v>
      </c>
      <c r="Q81" s="713"/>
      <c r="R81" s="713"/>
      <c r="S81" s="963">
        <f t="shared" si="11"/>
        <v>13745.106779898199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45617</v>
      </c>
      <c r="C82" s="997" t="s">
        <v>998</v>
      </c>
      <c r="D82" s="1002"/>
      <c r="E82" s="998">
        <v>34</v>
      </c>
      <c r="F82" s="640" t="s">
        <v>125</v>
      </c>
      <c r="G82" s="640" t="s">
        <v>145</v>
      </c>
      <c r="H82" s="640"/>
      <c r="I82" s="640"/>
      <c r="J82" s="640"/>
      <c r="K82" s="999">
        <v>80</v>
      </c>
      <c r="L82" s="612">
        <v>7.2228999555822639</v>
      </c>
      <c r="M82" s="990">
        <f t="shared" si="14"/>
        <v>11.075883715954213</v>
      </c>
      <c r="N82" s="1009">
        <f t="shared" si="15"/>
        <v>99123.110000000059</v>
      </c>
      <c r="O82" s="1009">
        <f t="shared" si="16"/>
        <v>13734.030118733346</v>
      </c>
      <c r="P82" s="992" t="s">
        <v>1390</v>
      </c>
      <c r="Q82" s="713"/>
      <c r="R82" s="713"/>
      <c r="S82" s="963">
        <f t="shared" si="11"/>
        <v>13734.030896182245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45617</v>
      </c>
      <c r="C83" s="997" t="s">
        <v>250</v>
      </c>
      <c r="D83" s="1002"/>
      <c r="E83" s="998">
        <v>35</v>
      </c>
      <c r="F83" s="640" t="s">
        <v>107</v>
      </c>
      <c r="G83" s="640"/>
      <c r="H83" s="640"/>
      <c r="I83" s="640"/>
      <c r="J83" s="640"/>
      <c r="K83" s="999">
        <v>3.6</v>
      </c>
      <c r="L83" s="612">
        <v>7.2228999555822639</v>
      </c>
      <c r="M83" s="990">
        <f t="shared" si="14"/>
        <v>0.49841476721793954</v>
      </c>
      <c r="N83" s="1009">
        <f t="shared" si="15"/>
        <v>99119.510000000053</v>
      </c>
      <c r="O83" s="1009">
        <f t="shared" si="16"/>
        <v>13733.531703966128</v>
      </c>
      <c r="P83" s="992" t="s">
        <v>1390</v>
      </c>
      <c r="Q83" s="713"/>
      <c r="R83" s="713"/>
      <c r="S83" s="963">
        <f t="shared" si="11"/>
        <v>13733.532481415026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45617</v>
      </c>
      <c r="C84" s="997" t="s">
        <v>1008</v>
      </c>
      <c r="D84" s="1002"/>
      <c r="E84" s="998">
        <v>36</v>
      </c>
      <c r="F84" s="640" t="s">
        <v>146</v>
      </c>
      <c r="G84" s="640" t="s">
        <v>147</v>
      </c>
      <c r="H84" s="640"/>
      <c r="I84" s="640"/>
      <c r="J84" s="640"/>
      <c r="K84" s="999">
        <v>3645</v>
      </c>
      <c r="L84" s="612">
        <v>7.2228999555822639</v>
      </c>
      <c r="M84" s="990">
        <f t="shared" si="14"/>
        <v>504.6449518081638</v>
      </c>
      <c r="N84" s="1009">
        <f t="shared" si="15"/>
        <v>95474.510000000053</v>
      </c>
      <c r="O84" s="1009">
        <f t="shared" si="16"/>
        <v>13228.886752157963</v>
      </c>
      <c r="P84" s="992" t="s">
        <v>1390</v>
      </c>
      <c r="Q84" s="713"/>
      <c r="R84" s="713"/>
      <c r="S84" s="963">
        <f t="shared" si="11"/>
        <v>13228.887529606862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45617</v>
      </c>
      <c r="C85" s="997" t="s">
        <v>1006</v>
      </c>
      <c r="D85" s="1002"/>
      <c r="E85" s="998">
        <v>37</v>
      </c>
      <c r="F85" s="640" t="s">
        <v>146</v>
      </c>
      <c r="G85" s="640" t="s">
        <v>147</v>
      </c>
      <c r="H85" s="640"/>
      <c r="I85" s="640"/>
      <c r="J85" s="640"/>
      <c r="K85" s="999">
        <v>462</v>
      </c>
      <c r="L85" s="612">
        <v>7.2228999555822639</v>
      </c>
      <c r="M85" s="990">
        <f t="shared" si="14"/>
        <v>63.963228459635573</v>
      </c>
      <c r="N85" s="1009">
        <f t="shared" ref="N85:N91" si="17">N84+H85-K85</f>
        <v>95012.510000000053</v>
      </c>
      <c r="O85" s="1009">
        <f t="shared" ref="O85:O91" si="18">O84+J85-M85</f>
        <v>13164.923523698328</v>
      </c>
      <c r="P85" s="992" t="s">
        <v>1390</v>
      </c>
      <c r="Q85" s="713"/>
      <c r="R85" s="713"/>
      <c r="S85" s="963">
        <f t="shared" si="11"/>
        <v>13164.924301147226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45617</v>
      </c>
      <c r="C86" s="997" t="s">
        <v>1007</v>
      </c>
      <c r="D86" s="1002"/>
      <c r="E86" s="998">
        <v>38</v>
      </c>
      <c r="F86" s="640" t="s">
        <v>146</v>
      </c>
      <c r="G86" s="640" t="s">
        <v>147</v>
      </c>
      <c r="H86" s="640"/>
      <c r="I86" s="640"/>
      <c r="J86" s="640"/>
      <c r="K86" s="999">
        <v>740</v>
      </c>
      <c r="L86" s="612">
        <v>7.2228999555822639</v>
      </c>
      <c r="M86" s="990">
        <f t="shared" si="14"/>
        <v>102.45192437257646</v>
      </c>
      <c r="N86" s="1009">
        <f t="shared" si="17"/>
        <v>94272.510000000053</v>
      </c>
      <c r="O86" s="1009">
        <f t="shared" si="18"/>
        <v>13062.471599325751</v>
      </c>
      <c r="P86" s="992" t="s">
        <v>1390</v>
      </c>
      <c r="Q86" s="713"/>
      <c r="R86" s="713"/>
      <c r="S86" s="963">
        <f t="shared" si="11"/>
        <v>13062.472376774649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45617</v>
      </c>
      <c r="C87" s="997" t="s">
        <v>250</v>
      </c>
      <c r="D87" s="1002"/>
      <c r="E87" s="998">
        <v>39</v>
      </c>
      <c r="F87" s="640" t="s">
        <v>107</v>
      </c>
      <c r="G87" s="640"/>
      <c r="H87" s="640"/>
      <c r="I87" s="640"/>
      <c r="J87" s="640"/>
      <c r="K87" s="999">
        <v>3.6</v>
      </c>
      <c r="L87" s="612">
        <v>7.2228999555822639</v>
      </c>
      <c r="M87" s="990">
        <f t="shared" si="14"/>
        <v>0.49841476721793954</v>
      </c>
      <c r="N87" s="1009">
        <f t="shared" si="17"/>
        <v>94268.910000000047</v>
      </c>
      <c r="O87" s="1009">
        <f t="shared" si="18"/>
        <v>13061.973184558532</v>
      </c>
      <c r="P87" s="992" t="s">
        <v>1390</v>
      </c>
      <c r="Q87" s="713"/>
      <c r="R87" s="713"/>
      <c r="S87" s="963">
        <f t="shared" si="11"/>
        <v>13061.973962007431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45617</v>
      </c>
      <c r="C88" s="997" t="s">
        <v>1348</v>
      </c>
      <c r="D88" s="1002"/>
      <c r="E88" s="998">
        <v>40</v>
      </c>
      <c r="F88" s="640" t="s">
        <v>116</v>
      </c>
      <c r="G88" s="640" t="s">
        <v>140</v>
      </c>
      <c r="H88" s="640"/>
      <c r="I88" s="640"/>
      <c r="J88" s="640"/>
      <c r="K88" s="999">
        <v>500</v>
      </c>
      <c r="L88" s="612">
        <v>7.2228999555822639</v>
      </c>
      <c r="M88" s="990">
        <f t="shared" si="14"/>
        <v>69.224273224713826</v>
      </c>
      <c r="N88" s="1009">
        <f t="shared" si="17"/>
        <v>93768.910000000047</v>
      </c>
      <c r="O88" s="1009">
        <f t="shared" si="18"/>
        <v>12992.748911333818</v>
      </c>
      <c r="P88" s="992" t="s">
        <v>1390</v>
      </c>
      <c r="Q88" s="713"/>
      <c r="R88" s="713"/>
      <c r="S88" s="963">
        <f t="shared" si="11"/>
        <v>12992.749688782716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45617</v>
      </c>
      <c r="C89" s="997" t="s">
        <v>1349</v>
      </c>
      <c r="D89" s="1002"/>
      <c r="E89" s="998">
        <v>41</v>
      </c>
      <c r="F89" s="640" t="s">
        <v>146</v>
      </c>
      <c r="G89" s="640" t="s">
        <v>147</v>
      </c>
      <c r="H89" s="640"/>
      <c r="I89" s="640"/>
      <c r="J89" s="640"/>
      <c r="K89" s="999">
        <v>5164.3999999999996</v>
      </c>
      <c r="L89" s="612">
        <v>7.2228999555822639</v>
      </c>
      <c r="M89" s="990">
        <f t="shared" si="14"/>
        <v>715.00367328342406</v>
      </c>
      <c r="N89" s="1009">
        <f t="shared" si="17"/>
        <v>88604.510000000053</v>
      </c>
      <c r="O89" s="1009">
        <f t="shared" si="18"/>
        <v>12277.745238050395</v>
      </c>
      <c r="P89" s="992" t="s">
        <v>1390</v>
      </c>
      <c r="Q89" s="713"/>
      <c r="R89" s="713"/>
      <c r="S89" s="963">
        <f t="shared" si="11"/>
        <v>12277.746015499293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3.5" customHeight="1">
      <c r="A90" s="614"/>
      <c r="B90" s="639">
        <v>45617</v>
      </c>
      <c r="C90" s="997" t="s">
        <v>839</v>
      </c>
      <c r="D90" s="1002"/>
      <c r="E90" s="998">
        <v>42</v>
      </c>
      <c r="F90" s="640" t="s">
        <v>125</v>
      </c>
      <c r="G90" s="640" t="s">
        <v>145</v>
      </c>
      <c r="H90" s="640"/>
      <c r="I90" s="640"/>
      <c r="J90" s="640"/>
      <c r="K90" s="999">
        <v>8671</v>
      </c>
      <c r="L90" s="612">
        <v>7.2228999555822639</v>
      </c>
      <c r="M90" s="990">
        <f t="shared" si="14"/>
        <v>1200.4873462629871</v>
      </c>
      <c r="N90" s="1009">
        <f t="shared" si="17"/>
        <v>79933.510000000053</v>
      </c>
      <c r="O90" s="1009">
        <f t="shared" si="18"/>
        <v>11077.257891787407</v>
      </c>
      <c r="P90" s="992" t="s">
        <v>1390</v>
      </c>
      <c r="Q90" s="713"/>
      <c r="R90" s="713"/>
      <c r="S90" s="963">
        <f t="shared" si="11"/>
        <v>11077.258669236306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45617</v>
      </c>
      <c r="C91" s="997" t="s">
        <v>445</v>
      </c>
      <c r="D91" s="1002"/>
      <c r="E91" s="998">
        <v>43</v>
      </c>
      <c r="F91" s="640" t="s">
        <v>107</v>
      </c>
      <c r="G91" s="640"/>
      <c r="H91" s="640"/>
      <c r="I91" s="640"/>
      <c r="J91" s="640"/>
      <c r="K91" s="999">
        <v>7.2</v>
      </c>
      <c r="L91" s="612">
        <v>7.2228999555822639</v>
      </c>
      <c r="M91" s="990">
        <f t="shared" si="14"/>
        <v>0.99682953443587907</v>
      </c>
      <c r="N91" s="1030">
        <f t="shared" si="17"/>
        <v>79926.310000000056</v>
      </c>
      <c r="O91" s="1030">
        <f t="shared" si="18"/>
        <v>11076.261062252972</v>
      </c>
      <c r="P91" s="992" t="s">
        <v>1390</v>
      </c>
      <c r="Q91" s="713"/>
      <c r="R91" s="713"/>
      <c r="S91" s="980">
        <f t="shared" si="11"/>
        <v>11076.26183970187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559" customFormat="1" ht="11.25" customHeight="1">
      <c r="A92" s="614"/>
      <c r="B92" s="589"/>
      <c r="C92" s="589"/>
      <c r="D92" s="589"/>
      <c r="E92" s="589"/>
      <c r="F92" s="589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S92" s="562"/>
      <c r="T92" s="531"/>
      <c r="U92" s="645"/>
      <c r="V92" s="531"/>
      <c r="W92" s="531"/>
      <c r="X92" s="531"/>
      <c r="Y92" s="531"/>
      <c r="Z92" s="531"/>
      <c r="AA92" s="531"/>
      <c r="AB92" s="531"/>
      <c r="AC92" s="531"/>
    </row>
    <row r="93" spans="1:29" s="559" customFormat="1" ht="11.25" customHeight="1">
      <c r="A93" s="614"/>
      <c r="B93" s="589"/>
      <c r="C93" s="589"/>
      <c r="D93" s="589"/>
      <c r="E93" s="589"/>
      <c r="F93" s="589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S93" s="562"/>
      <c r="T93" s="531"/>
      <c r="U93" s="645"/>
      <c r="V93" s="531"/>
      <c r="W93" s="531"/>
      <c r="X93" s="531"/>
      <c r="Y93" s="531"/>
      <c r="Z93" s="531"/>
      <c r="AA93" s="531"/>
      <c r="AB93" s="531"/>
      <c r="AC93" s="531"/>
    </row>
    <row r="94" spans="1:29" s="559" customFormat="1" ht="11.25" customHeight="1">
      <c r="A94" s="614"/>
      <c r="B94" s="589"/>
      <c r="C94" s="589"/>
      <c r="D94" s="589"/>
      <c r="E94" s="589"/>
      <c r="F94" s="589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  <c r="S94" s="562"/>
      <c r="T94" s="531"/>
      <c r="U94" s="645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89"/>
      <c r="H101" s="589"/>
      <c r="I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</sheetData>
  <autoFilter ref="B18:R91" xr:uid="{00000000-0009-0000-0000-000001000000}">
    <filterColumn colId="14" showButton="0"/>
    <sortState xmlns:xlrd2="http://schemas.microsoft.com/office/spreadsheetml/2017/richdata2" ref="B21:R91">
      <sortCondition sortBy="cellColor" ref="M18:M91" dxfId="8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082B-78ED-4E41-8A9C-48F5E640A5E1}">
  <sheetPr>
    <tabColor rgb="FFFFC000"/>
  </sheetPr>
  <dimension ref="A1:AC97"/>
  <sheetViews>
    <sheetView showGridLines="0" zoomScaleNormal="100" workbookViewId="0">
      <pane ySplit="19" topLeftCell="A68" activePane="bottomLeft" state="frozen"/>
      <selection activeCell="L127" sqref="L127"/>
      <selection pane="bottomLeft" activeCell="F89" sqref="F89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1395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1383</v>
      </c>
      <c r="C3" s="547"/>
      <c r="D3" s="547"/>
      <c r="E3" s="547"/>
      <c r="F3" s="1024">
        <v>1385.4</v>
      </c>
      <c r="G3" s="550"/>
      <c r="H3" s="546" t="s">
        <v>1409</v>
      </c>
      <c r="I3" s="547"/>
      <c r="K3" s="548"/>
      <c r="L3" s="1024">
        <v>1433.2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9432.4599999999991</v>
      </c>
      <c r="E5" s="566">
        <v>1305.9100000000001</v>
      </c>
      <c r="F5" s="567">
        <f>ROUND(E5*$F$3,0)</f>
        <v>1809208</v>
      </c>
      <c r="G5" s="568"/>
      <c r="H5" s="569" t="s">
        <v>11</v>
      </c>
      <c r="I5" s="569" t="s">
        <v>12</v>
      </c>
      <c r="J5" s="766">
        <v>8471</v>
      </c>
      <c r="K5" s="766">
        <v>1166.21</v>
      </c>
      <c r="L5" s="723">
        <f>ROUND(K5*$L$3,0)</f>
        <v>1671412</v>
      </c>
      <c r="M5" s="970">
        <f>L5+F5</f>
        <v>3480620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11364.93</v>
      </c>
      <c r="E6" s="570">
        <v>1573.46</v>
      </c>
      <c r="F6" s="567">
        <f t="shared" ref="F6:F12" si="0">ROUND(E6*$F$3,0)</f>
        <v>2179871</v>
      </c>
      <c r="G6" s="572"/>
      <c r="H6" s="569" t="s">
        <v>13</v>
      </c>
      <c r="I6" s="569" t="s">
        <v>14</v>
      </c>
      <c r="J6" s="766">
        <v>30720.81</v>
      </c>
      <c r="K6" s="766">
        <v>4229.3599999999997</v>
      </c>
      <c r="L6" s="723">
        <f t="shared" ref="L6:L12" si="1">ROUND(K6*$L$3,0)</f>
        <v>6061519</v>
      </c>
      <c r="M6" s="970">
        <f t="shared" ref="M6:M13" si="2">L6+F6</f>
        <v>8241390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24546</v>
      </c>
      <c r="E7" s="570">
        <v>3398.36</v>
      </c>
      <c r="F7" s="567">
        <f t="shared" si="0"/>
        <v>4708088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4708088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2422.85</v>
      </c>
      <c r="F8" s="567">
        <f t="shared" si="0"/>
        <v>3356616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3356616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1654.1999999999998</v>
      </c>
      <c r="E9" s="570">
        <v>229.02</v>
      </c>
      <c r="F9" s="567">
        <f t="shared" si="0"/>
        <v>317284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70">
        <f t="shared" si="2"/>
        <v>317284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15505.130000000001</v>
      </c>
      <c r="E10" s="570">
        <v>2146.66</v>
      </c>
      <c r="F10" s="567">
        <f t="shared" si="0"/>
        <v>2973983</v>
      </c>
      <c r="G10" s="575"/>
      <c r="H10" s="569" t="s">
        <v>21</v>
      </c>
      <c r="I10" s="569"/>
      <c r="J10" s="766">
        <v>215782.34</v>
      </c>
      <c r="K10" s="766">
        <v>29757.95</v>
      </c>
      <c r="L10" s="723">
        <f t="shared" si="1"/>
        <v>42649094</v>
      </c>
      <c r="M10" s="970">
        <f t="shared" si="2"/>
        <v>45623077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1385.3999454689579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11076.26</v>
      </c>
      <c r="H12" s="569" t="s">
        <v>1068</v>
      </c>
      <c r="I12" s="569" t="s">
        <v>1069</v>
      </c>
      <c r="J12" s="565">
        <v>97.84</v>
      </c>
      <c r="K12" s="570">
        <v>6.61</v>
      </c>
      <c r="L12" s="723">
        <f t="shared" si="1"/>
        <v>9473</v>
      </c>
      <c r="M12" s="970">
        <f t="shared" si="2"/>
        <v>9473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80002.720000000001</v>
      </c>
      <c r="E13" s="585">
        <f>SUM(E5:E11)-E12</f>
        <v>11076.26</v>
      </c>
      <c r="F13" s="950">
        <f>SUM(F5:F11)-F12</f>
        <v>15345050</v>
      </c>
      <c r="G13" s="588">
        <f>F13+R13+AC13</f>
        <v>15345050</v>
      </c>
      <c r="H13" s="948" t="s">
        <v>22</v>
      </c>
      <c r="I13" s="949"/>
      <c r="J13" s="585">
        <f>SUM(J5:J11)-J12</f>
        <v>254876.31</v>
      </c>
      <c r="K13" s="585">
        <f>SUM(K5:K11)-K12</f>
        <v>35146.910000000003</v>
      </c>
      <c r="L13" s="950">
        <f>SUM(L5:L11)-L12</f>
        <v>50372552</v>
      </c>
      <c r="M13" s="970">
        <f t="shared" si="2"/>
        <v>65717602</v>
      </c>
      <c r="N13" s="952"/>
      <c r="O13" s="953"/>
      <c r="P13" s="853"/>
      <c r="Q13" s="853"/>
      <c r="R13" s="853"/>
      <c r="S13" s="954"/>
      <c r="U13" s="930"/>
      <c r="X13" s="955">
        <f>F13+R13</f>
        <v>15345050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59205.33</v>
      </c>
      <c r="E14" s="816">
        <f>SUM(E7:E10)</f>
        <v>8196.89</v>
      </c>
      <c r="F14" s="816">
        <f>SUM(F7:F10)</f>
        <v>11355971</v>
      </c>
      <c r="G14" s="594"/>
      <c r="J14" s="1010">
        <f>J13+D13</f>
        <v>334879.03000000003</v>
      </c>
      <c r="K14" s="1010">
        <f>K13+E13</f>
        <v>46223.170000000006</v>
      </c>
      <c r="L14" s="985">
        <f>L13+F13</f>
        <v>65717602</v>
      </c>
      <c r="M14" s="945">
        <f>M16-E12</f>
        <v>46229.776886498519</v>
      </c>
      <c r="O14" s="595"/>
      <c r="P14" s="924">
        <f>P13+D13+J13</f>
        <v>334879.03000000003</v>
      </c>
      <c r="Q14" s="924">
        <f>Q13+E13+K13</f>
        <v>46223.170000000006</v>
      </c>
      <c r="R14" s="925">
        <f>R13+F13+L13</f>
        <v>65717602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K16-H74</f>
        <v>334879.03000000003</v>
      </c>
      <c r="L15" s="945"/>
      <c r="M15" s="945">
        <f>M16-J74</f>
        <v>46223.1686840732</v>
      </c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SUBTOTAL(9,K19:K96)</f>
        <v>334976.87000000005</v>
      </c>
      <c r="L16" s="137"/>
      <c r="M16" s="724">
        <f>SUBTOTAL(9,M19:M96)</f>
        <v>46229.776886498519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986" t="s">
        <v>1071</v>
      </c>
    </row>
    <row r="19" spans="1:29" ht="11.25" customHeight="1">
      <c r="B19" s="1033">
        <v>45626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79926.310000000056</v>
      </c>
      <c r="O19" s="1042">
        <v>11076.261062252972</v>
      </c>
      <c r="P19" s="1043"/>
      <c r="Q19" s="1035"/>
      <c r="R19" s="1044"/>
      <c r="S19" s="926">
        <v>11076.26</v>
      </c>
    </row>
    <row r="20" spans="1:29" s="645" customFormat="1" ht="12" customHeight="1">
      <c r="A20" s="614"/>
      <c r="B20" s="639">
        <v>45639</v>
      </c>
      <c r="C20" s="1045" t="s">
        <v>823</v>
      </c>
      <c r="D20" s="1002"/>
      <c r="E20" s="998"/>
      <c r="F20" s="640"/>
      <c r="G20" s="640"/>
      <c r="H20" s="1048">
        <v>333265.82</v>
      </c>
      <c r="I20" s="1049"/>
      <c r="J20" s="1048">
        <v>45932</v>
      </c>
      <c r="K20" s="999"/>
      <c r="L20" s="612"/>
      <c r="M20" s="990"/>
      <c r="N20" s="1009">
        <f>N19+H20-K20</f>
        <v>413192.13000000006</v>
      </c>
      <c r="O20" s="1009">
        <f>O19+J20-M20</f>
        <v>57008.261062252976</v>
      </c>
      <c r="P20" s="992"/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45639</v>
      </c>
      <c r="C21" s="1045" t="s">
        <v>250</v>
      </c>
      <c r="D21" s="1002"/>
      <c r="E21" s="998">
        <v>1</v>
      </c>
      <c r="F21" s="640" t="s">
        <v>107</v>
      </c>
      <c r="G21" s="640"/>
      <c r="H21" s="1048"/>
      <c r="I21" s="1049"/>
      <c r="J21" s="1048"/>
      <c r="K21" s="999"/>
      <c r="L21" s="612"/>
      <c r="M21" s="1062">
        <v>51</v>
      </c>
      <c r="N21" s="1009">
        <f t="shared" ref="N21:N53" si="3">N20+H21-K21</f>
        <v>413192.13000000006</v>
      </c>
      <c r="O21" s="1009">
        <f t="shared" ref="O21:O53" si="4">O20+J21-M21</f>
        <v>56957.261062252976</v>
      </c>
      <c r="P21" s="992" t="s">
        <v>1407</v>
      </c>
      <c r="Q21" s="713"/>
      <c r="R21" s="713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559" customFormat="1" ht="11.25" customHeight="1">
      <c r="A22" s="614"/>
      <c r="B22" s="639">
        <v>45639</v>
      </c>
      <c r="C22" s="1045" t="s">
        <v>1375</v>
      </c>
      <c r="D22" s="1002"/>
      <c r="E22" s="998">
        <v>2</v>
      </c>
      <c r="F22" s="640" t="s">
        <v>105</v>
      </c>
      <c r="G22" s="640" t="s">
        <v>1131</v>
      </c>
      <c r="H22" s="1050"/>
      <c r="I22" s="1051"/>
      <c r="J22" s="1051"/>
      <c r="K22" s="1048">
        <v>24546</v>
      </c>
      <c r="L22" s="612">
        <f>'통장내역(환율표)'!$D$231</f>
        <v>7.2228999555822639</v>
      </c>
      <c r="M22" s="990">
        <f t="shared" ref="M22:M93" si="5">K22/L22</f>
        <v>3398.358021147651</v>
      </c>
      <c r="N22" s="1009">
        <f t="shared" si="3"/>
        <v>388646.13000000006</v>
      </c>
      <c r="O22" s="1009">
        <f t="shared" si="4"/>
        <v>53558.903041105325</v>
      </c>
      <c r="P22" s="992" t="s">
        <v>1390</v>
      </c>
      <c r="Q22" s="713"/>
      <c r="R22" s="713"/>
      <c r="S22" s="1055">
        <f>S19-M22</f>
        <v>7677.9019788523492</v>
      </c>
      <c r="T22" s="531"/>
      <c r="U22" s="645"/>
      <c r="V22" s="531"/>
      <c r="W22" s="531"/>
      <c r="X22" s="531"/>
      <c r="Y22" s="531"/>
      <c r="Z22" s="531"/>
      <c r="AA22" s="531"/>
      <c r="AB22" s="531"/>
      <c r="AC22" s="531"/>
    </row>
    <row r="23" spans="1:29" s="559" customFormat="1" ht="11.25" customHeight="1">
      <c r="A23" s="614"/>
      <c r="B23" s="639">
        <v>45639</v>
      </c>
      <c r="C23" s="1045" t="s">
        <v>250</v>
      </c>
      <c r="D23" s="1002"/>
      <c r="E23" s="998">
        <v>3</v>
      </c>
      <c r="F23" s="640" t="s">
        <v>107</v>
      </c>
      <c r="G23" s="640"/>
      <c r="H23" s="1050"/>
      <c r="I23" s="1051"/>
      <c r="J23" s="1051"/>
      <c r="K23" s="1048">
        <v>7.2</v>
      </c>
      <c r="L23" s="612">
        <f>'통장내역(환율표)'!$D$231</f>
        <v>7.2228999555822639</v>
      </c>
      <c r="M23" s="990">
        <f t="shared" si="5"/>
        <v>0.99682953443587907</v>
      </c>
      <c r="N23" s="1009">
        <f t="shared" si="3"/>
        <v>388638.93000000005</v>
      </c>
      <c r="O23" s="1009">
        <f t="shared" si="4"/>
        <v>53557.906211570888</v>
      </c>
      <c r="P23" s="992" t="s">
        <v>1390</v>
      </c>
      <c r="Q23" s="713"/>
      <c r="R23" s="713"/>
      <c r="S23" s="1055">
        <f>S22-M23</f>
        <v>7676.9051493179131</v>
      </c>
      <c r="T23" s="531"/>
      <c r="U23" s="645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639">
        <v>45639</v>
      </c>
      <c r="C24" s="1045" t="s">
        <v>1291</v>
      </c>
      <c r="D24" s="1002"/>
      <c r="E24" s="998">
        <v>4</v>
      </c>
      <c r="F24" s="640" t="s">
        <v>146</v>
      </c>
      <c r="G24" s="640" t="s">
        <v>147</v>
      </c>
      <c r="H24" s="1050"/>
      <c r="I24" s="1052"/>
      <c r="J24" s="1052"/>
      <c r="K24" s="1050">
        <v>1600</v>
      </c>
      <c r="L24" s="612">
        <f>'통장내역(환율표)'!$D$231</f>
        <v>7.2228999555822639</v>
      </c>
      <c r="M24" s="990">
        <f t="shared" si="5"/>
        <v>221.51767431908425</v>
      </c>
      <c r="N24" s="1009">
        <f t="shared" si="3"/>
        <v>387038.93000000005</v>
      </c>
      <c r="O24" s="1009">
        <f t="shared" si="4"/>
        <v>53336.388537251805</v>
      </c>
      <c r="P24" s="992" t="s">
        <v>1390</v>
      </c>
      <c r="Q24" s="713"/>
      <c r="R24" s="713"/>
      <c r="S24" s="1055">
        <f t="shared" ref="S24:S53" si="6">S23-M24</f>
        <v>7455.387474998829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639">
        <v>45639</v>
      </c>
      <c r="C25" s="1045" t="s">
        <v>250</v>
      </c>
      <c r="D25" s="1002"/>
      <c r="E25" s="998">
        <v>5</v>
      </c>
      <c r="F25" s="640" t="s">
        <v>107</v>
      </c>
      <c r="G25" s="640"/>
      <c r="H25" s="1050"/>
      <c r="I25" s="1052"/>
      <c r="J25" s="1052"/>
      <c r="K25" s="1050">
        <v>3.6</v>
      </c>
      <c r="L25" s="612">
        <f>'통장내역(환율표)'!$D$231</f>
        <v>7.2228999555822639</v>
      </c>
      <c r="M25" s="990">
        <f t="shared" si="5"/>
        <v>0.49841476721793954</v>
      </c>
      <c r="N25" s="1009">
        <f t="shared" si="3"/>
        <v>387035.33000000007</v>
      </c>
      <c r="O25" s="1009">
        <f t="shared" si="4"/>
        <v>53335.89012248459</v>
      </c>
      <c r="P25" s="992" t="s">
        <v>1390</v>
      </c>
      <c r="Q25" s="713"/>
      <c r="R25" s="713"/>
      <c r="S25" s="1055">
        <f t="shared" si="6"/>
        <v>7454.8890602316114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45646</v>
      </c>
      <c r="C26" s="1045" t="s">
        <v>242</v>
      </c>
      <c r="D26" s="1002"/>
      <c r="E26" s="998">
        <v>6</v>
      </c>
      <c r="F26" s="640" t="s">
        <v>107</v>
      </c>
      <c r="G26" s="640"/>
      <c r="H26" s="1050"/>
      <c r="I26" s="1052"/>
      <c r="J26" s="1052"/>
      <c r="K26" s="1050">
        <v>1010</v>
      </c>
      <c r="L26" s="612">
        <f>'통장내역(환율표)'!$D$231</f>
        <v>7.2228999555822639</v>
      </c>
      <c r="M26" s="990">
        <f t="shared" si="5"/>
        <v>139.83303191392193</v>
      </c>
      <c r="N26" s="1009">
        <f t="shared" si="3"/>
        <v>386025.33000000007</v>
      </c>
      <c r="O26" s="1009">
        <f t="shared" si="4"/>
        <v>53196.05709057067</v>
      </c>
      <c r="P26" s="992" t="s">
        <v>1390</v>
      </c>
      <c r="Q26" s="713"/>
      <c r="R26" s="713"/>
      <c r="S26" s="1055">
        <f t="shared" si="6"/>
        <v>7315.0560283176892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639">
        <v>45646</v>
      </c>
      <c r="C27" s="1045" t="s">
        <v>250</v>
      </c>
      <c r="D27" s="1002"/>
      <c r="E27" s="998">
        <v>7</v>
      </c>
      <c r="F27" s="640" t="s">
        <v>107</v>
      </c>
      <c r="G27" s="640"/>
      <c r="H27" s="1050"/>
      <c r="I27" s="1052"/>
      <c r="J27" s="1052"/>
      <c r="K27" s="1050">
        <v>3.6</v>
      </c>
      <c r="L27" s="612">
        <f>'통장내역(환율표)'!$D$231</f>
        <v>7.2228999555822639</v>
      </c>
      <c r="M27" s="990">
        <f t="shared" si="5"/>
        <v>0.49841476721793954</v>
      </c>
      <c r="N27" s="1009">
        <f t="shared" si="3"/>
        <v>386021.7300000001</v>
      </c>
      <c r="O27" s="1009">
        <f t="shared" si="4"/>
        <v>53195.558675803455</v>
      </c>
      <c r="P27" s="992" t="s">
        <v>1390</v>
      </c>
      <c r="Q27" s="713"/>
      <c r="R27" s="713"/>
      <c r="S27" s="1055">
        <f t="shared" si="6"/>
        <v>7314.5576135504716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639">
        <v>45646</v>
      </c>
      <c r="C28" s="997" t="s">
        <v>305</v>
      </c>
      <c r="D28" s="1002"/>
      <c r="E28" s="998">
        <v>8</v>
      </c>
      <c r="F28" s="640" t="s">
        <v>105</v>
      </c>
      <c r="G28" s="640" t="s">
        <v>227</v>
      </c>
      <c r="H28" s="1050"/>
      <c r="I28" s="1052"/>
      <c r="J28" s="1052"/>
      <c r="K28" s="999">
        <v>10500</v>
      </c>
      <c r="L28" s="612">
        <f>'통장내역(환율표)'!$D$231</f>
        <v>7.2228999555822639</v>
      </c>
      <c r="M28" s="990">
        <f t="shared" si="5"/>
        <v>1453.7097377189903</v>
      </c>
      <c r="N28" s="1009">
        <f t="shared" si="3"/>
        <v>375521.7300000001</v>
      </c>
      <c r="O28" s="1009">
        <f t="shared" si="4"/>
        <v>51741.848938084462</v>
      </c>
      <c r="P28" s="992" t="s">
        <v>1390</v>
      </c>
      <c r="Q28" s="713"/>
      <c r="R28" s="713"/>
      <c r="S28" s="1055">
        <f t="shared" si="6"/>
        <v>5860.8478758314814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639">
        <v>45646</v>
      </c>
      <c r="C29" s="997" t="s">
        <v>1116</v>
      </c>
      <c r="D29" s="1002"/>
      <c r="E29" s="998">
        <v>8</v>
      </c>
      <c r="F29" s="640" t="s">
        <v>107</v>
      </c>
      <c r="G29" s="640"/>
      <c r="H29" s="1050"/>
      <c r="I29" s="1052"/>
      <c r="J29" s="1052"/>
      <c r="K29" s="999">
        <v>6000</v>
      </c>
      <c r="L29" s="612">
        <f>'통장내역(환율표)'!$D$231</f>
        <v>7.2228999555822639</v>
      </c>
      <c r="M29" s="990">
        <f t="shared" si="5"/>
        <v>830.69127869656597</v>
      </c>
      <c r="N29" s="1009">
        <f t="shared" si="3"/>
        <v>369521.7300000001</v>
      </c>
      <c r="O29" s="1009">
        <f t="shared" si="4"/>
        <v>50911.157659387893</v>
      </c>
      <c r="P29" s="992" t="s">
        <v>1390</v>
      </c>
      <c r="Q29" s="713"/>
      <c r="R29" s="713"/>
      <c r="S29" s="1055">
        <f t="shared" si="6"/>
        <v>5030.1565971349155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639">
        <v>45646</v>
      </c>
      <c r="C30" s="997" t="s">
        <v>1117</v>
      </c>
      <c r="D30" s="1002"/>
      <c r="E30" s="998">
        <v>8</v>
      </c>
      <c r="F30" s="640" t="s">
        <v>107</v>
      </c>
      <c r="G30" s="640"/>
      <c r="H30" s="1050"/>
      <c r="I30" s="1052"/>
      <c r="J30" s="1052"/>
      <c r="K30" s="999">
        <v>440</v>
      </c>
      <c r="L30" s="612">
        <f>'통장내역(환율표)'!$D$231</f>
        <v>7.2228999555822639</v>
      </c>
      <c r="M30" s="990">
        <f>K30/L30</f>
        <v>60.917360437748165</v>
      </c>
      <c r="N30" s="1009">
        <f t="shared" si="3"/>
        <v>369081.7300000001</v>
      </c>
      <c r="O30" s="1009">
        <f t="shared" si="4"/>
        <v>50850.240298950142</v>
      </c>
      <c r="P30" s="992" t="s">
        <v>1390</v>
      </c>
      <c r="Q30" s="713"/>
      <c r="R30" s="713"/>
      <c r="S30" s="1055">
        <f t="shared" si="6"/>
        <v>4969.2392366971671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639">
        <v>45646</v>
      </c>
      <c r="C31" s="997" t="s">
        <v>305</v>
      </c>
      <c r="D31" s="1002"/>
      <c r="E31" s="998">
        <v>8</v>
      </c>
      <c r="F31" s="640" t="s">
        <v>105</v>
      </c>
      <c r="G31" s="640" t="s">
        <v>227</v>
      </c>
      <c r="H31" s="1050"/>
      <c r="I31" s="1052"/>
      <c r="J31" s="1052"/>
      <c r="K31" s="999">
        <v>7000</v>
      </c>
      <c r="L31" s="612">
        <f>'통장내역(환율표)'!$D$231</f>
        <v>7.2228999555822639</v>
      </c>
      <c r="M31" s="990">
        <f>K31/L31</f>
        <v>969.13982514599354</v>
      </c>
      <c r="N31" s="1009">
        <f t="shared" si="3"/>
        <v>362081.7300000001</v>
      </c>
      <c r="O31" s="1009">
        <f t="shared" si="4"/>
        <v>49881.100473804152</v>
      </c>
      <c r="P31" s="992" t="s">
        <v>1390</v>
      </c>
      <c r="Q31" s="713"/>
      <c r="R31" s="713"/>
      <c r="S31" s="1055">
        <f t="shared" si="6"/>
        <v>4000.0994115511735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639">
        <v>45646</v>
      </c>
      <c r="C32" s="997" t="s">
        <v>1116</v>
      </c>
      <c r="D32" s="1002"/>
      <c r="E32" s="998">
        <v>8</v>
      </c>
      <c r="F32" s="640" t="s">
        <v>107</v>
      </c>
      <c r="G32" s="640"/>
      <c r="H32" s="1050"/>
      <c r="I32" s="1052"/>
      <c r="J32" s="1052"/>
      <c r="K32" s="999">
        <v>6000</v>
      </c>
      <c r="L32" s="612">
        <f>'통장내역(환율표)'!$D$231</f>
        <v>7.2228999555822639</v>
      </c>
      <c r="M32" s="990">
        <f>K32/L32</f>
        <v>830.69127869656597</v>
      </c>
      <c r="N32" s="1009">
        <f t="shared" si="3"/>
        <v>356081.7300000001</v>
      </c>
      <c r="O32" s="1009">
        <f t="shared" si="4"/>
        <v>49050.409195107582</v>
      </c>
      <c r="P32" s="992" t="s">
        <v>1390</v>
      </c>
      <c r="Q32" s="713"/>
      <c r="R32" s="713"/>
      <c r="S32" s="1055">
        <f t="shared" si="6"/>
        <v>3169.4081328546076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639">
        <v>45646</v>
      </c>
      <c r="C33" s="997" t="s">
        <v>1117</v>
      </c>
      <c r="D33" s="1002"/>
      <c r="E33" s="998">
        <v>8</v>
      </c>
      <c r="F33" s="640" t="s">
        <v>107</v>
      </c>
      <c r="G33" s="640"/>
      <c r="H33" s="1050"/>
      <c r="I33" s="1052"/>
      <c r="J33" s="1052"/>
      <c r="K33" s="999">
        <v>180</v>
      </c>
      <c r="L33" s="612">
        <f>'통장내역(환율표)'!$D$231</f>
        <v>7.2228999555822639</v>
      </c>
      <c r="M33" s="990">
        <f>K33/L33</f>
        <v>24.920738360896976</v>
      </c>
      <c r="N33" s="1009">
        <f t="shared" si="3"/>
        <v>355901.7300000001</v>
      </c>
      <c r="O33" s="1009">
        <f t="shared" si="4"/>
        <v>49025.488456746687</v>
      </c>
      <c r="P33" s="992" t="s">
        <v>1390</v>
      </c>
      <c r="Q33" s="713"/>
      <c r="R33" s="713"/>
      <c r="S33" s="1055">
        <f t="shared" si="6"/>
        <v>3144.4873944937108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639">
        <v>45646</v>
      </c>
      <c r="C34" s="997" t="s">
        <v>445</v>
      </c>
      <c r="D34" s="1002"/>
      <c r="E34" s="998">
        <v>9</v>
      </c>
      <c r="F34" s="640" t="s">
        <v>107</v>
      </c>
      <c r="G34" s="640"/>
      <c r="H34" s="1050"/>
      <c r="I34" s="1052"/>
      <c r="J34" s="1052"/>
      <c r="K34" s="999">
        <v>7.2</v>
      </c>
      <c r="L34" s="612">
        <f>'통장내역(환율표)'!$D$231</f>
        <v>7.2228999555822639</v>
      </c>
      <c r="M34" s="990">
        <f>K34/L34</f>
        <v>0.99682953443587907</v>
      </c>
      <c r="N34" s="1009">
        <f t="shared" si="3"/>
        <v>355894.53000000009</v>
      </c>
      <c r="O34" s="1009">
        <f t="shared" si="4"/>
        <v>49024.49162721225</v>
      </c>
      <c r="P34" s="992" t="s">
        <v>1390</v>
      </c>
      <c r="Q34" s="713"/>
      <c r="R34" s="713"/>
      <c r="S34" s="1055">
        <f t="shared" si="6"/>
        <v>3143.4905649592747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639">
        <v>45646</v>
      </c>
      <c r="C35" s="997" t="s">
        <v>1345</v>
      </c>
      <c r="D35" s="1002"/>
      <c r="E35" s="640">
        <v>10</v>
      </c>
      <c r="F35" s="640" t="s">
        <v>116</v>
      </c>
      <c r="G35" s="640" t="s">
        <v>140</v>
      </c>
      <c r="H35" s="640"/>
      <c r="I35" s="640"/>
      <c r="J35" s="640"/>
      <c r="K35" s="999">
        <v>917</v>
      </c>
      <c r="L35" s="612">
        <f>'통장내역(환율표)'!$D$231</f>
        <v>7.2228999555822639</v>
      </c>
      <c r="M35" s="990">
        <f t="shared" ref="M35:M46" si="7">K35/L35</f>
        <v>126.95731709412516</v>
      </c>
      <c r="N35" s="1009">
        <f t="shared" si="3"/>
        <v>354977.53000000009</v>
      </c>
      <c r="O35" s="1009">
        <f t="shared" si="4"/>
        <v>48897.534310118128</v>
      </c>
      <c r="P35" s="992" t="s">
        <v>1390</v>
      </c>
      <c r="Q35" s="713"/>
      <c r="R35" s="713"/>
      <c r="S35" s="1055">
        <f t="shared" si="6"/>
        <v>3016.5332478651494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639">
        <v>45646</v>
      </c>
      <c r="C36" s="997" t="s">
        <v>857</v>
      </c>
      <c r="D36" s="1002"/>
      <c r="E36" s="640">
        <v>11</v>
      </c>
      <c r="F36" s="640" t="s">
        <v>107</v>
      </c>
      <c r="G36" s="640"/>
      <c r="H36" s="640"/>
      <c r="I36" s="640"/>
      <c r="J36" s="640"/>
      <c r="K36" s="999">
        <v>19.899999999999999</v>
      </c>
      <c r="L36" s="612">
        <f>'통장내역(환율표)'!$D$231</f>
        <v>7.2228999555822639</v>
      </c>
      <c r="M36" s="990">
        <f t="shared" si="7"/>
        <v>2.7551260743436101</v>
      </c>
      <c r="N36" s="1009">
        <f t="shared" si="3"/>
        <v>354957.63000000006</v>
      </c>
      <c r="O36" s="1009">
        <f t="shared" si="4"/>
        <v>48894.779184043786</v>
      </c>
      <c r="P36" s="992" t="s">
        <v>1390</v>
      </c>
      <c r="Q36" s="713"/>
      <c r="R36" s="713"/>
      <c r="S36" s="1055">
        <f t="shared" si="6"/>
        <v>3013.7781217908059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639">
        <v>45646</v>
      </c>
      <c r="C37" s="997" t="s">
        <v>844</v>
      </c>
      <c r="D37" s="1002"/>
      <c r="E37" s="640">
        <v>12</v>
      </c>
      <c r="F37" s="640" t="s">
        <v>146</v>
      </c>
      <c r="G37" s="640" t="s">
        <v>147</v>
      </c>
      <c r="H37" s="640"/>
      <c r="I37" s="640"/>
      <c r="J37" s="640"/>
      <c r="K37" s="999">
        <v>15</v>
      </c>
      <c r="L37" s="612">
        <f>'통장내역(환율표)'!$D$231</f>
        <v>7.2228999555822639</v>
      </c>
      <c r="M37" s="990">
        <f t="shared" si="7"/>
        <v>2.0767281967414148</v>
      </c>
      <c r="N37" s="1009">
        <f t="shared" si="3"/>
        <v>354942.63000000006</v>
      </c>
      <c r="O37" s="1009">
        <f t="shared" si="4"/>
        <v>48892.702455847044</v>
      </c>
      <c r="P37" s="992" t="s">
        <v>1390</v>
      </c>
      <c r="Q37" s="713"/>
      <c r="R37" s="713"/>
      <c r="S37" s="1055">
        <f t="shared" si="6"/>
        <v>3011.7013935940645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639">
        <v>45646</v>
      </c>
      <c r="C38" s="1046" t="s">
        <v>845</v>
      </c>
      <c r="D38" s="1002"/>
      <c r="E38" s="640">
        <v>13</v>
      </c>
      <c r="F38" s="640" t="s">
        <v>125</v>
      </c>
      <c r="G38" s="640" t="s">
        <v>145</v>
      </c>
      <c r="H38" s="640"/>
      <c r="I38" s="640"/>
      <c r="J38" s="640"/>
      <c r="K38" s="999">
        <v>565.99</v>
      </c>
      <c r="L38" s="612">
        <f>'통장내역(환율표)'!$D$231</f>
        <v>7.2228999555822639</v>
      </c>
      <c r="M38" s="990">
        <f t="shared" si="7"/>
        <v>78.360492804911559</v>
      </c>
      <c r="N38" s="1009">
        <f t="shared" si="3"/>
        <v>354376.64000000007</v>
      </c>
      <c r="O38" s="1009">
        <f t="shared" si="4"/>
        <v>48814.341963042134</v>
      </c>
      <c r="P38" s="992" t="s">
        <v>1390</v>
      </c>
      <c r="Q38" s="713"/>
      <c r="R38" s="713"/>
      <c r="S38" s="1055">
        <f t="shared" si="6"/>
        <v>2933.3409007891528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639">
        <v>45646</v>
      </c>
      <c r="C39" s="1046" t="s">
        <v>865</v>
      </c>
      <c r="D39" s="1002"/>
      <c r="E39" s="640">
        <v>14</v>
      </c>
      <c r="F39" s="640" t="s">
        <v>107</v>
      </c>
      <c r="G39" s="640"/>
      <c r="H39" s="640"/>
      <c r="I39" s="640"/>
      <c r="J39" s="640"/>
      <c r="K39" s="999">
        <v>3.6</v>
      </c>
      <c r="L39" s="612">
        <f>'통장내역(환율표)'!$D$231</f>
        <v>7.2228999555822639</v>
      </c>
      <c r="M39" s="990">
        <f t="shared" si="7"/>
        <v>0.49841476721793954</v>
      </c>
      <c r="N39" s="1009">
        <f t="shared" si="3"/>
        <v>354373.0400000001</v>
      </c>
      <c r="O39" s="1009">
        <f t="shared" si="4"/>
        <v>48813.843548274919</v>
      </c>
      <c r="P39" s="992" t="s">
        <v>1390</v>
      </c>
      <c r="Q39" s="713"/>
      <c r="R39" s="713"/>
      <c r="S39" s="1055">
        <f t="shared" si="6"/>
        <v>2932.8424860219347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639">
        <v>45646</v>
      </c>
      <c r="C40" s="1046" t="s">
        <v>1309</v>
      </c>
      <c r="D40" s="1002"/>
      <c r="E40" s="640">
        <v>15</v>
      </c>
      <c r="F40" s="640" t="s">
        <v>146</v>
      </c>
      <c r="G40" s="640" t="s">
        <v>147</v>
      </c>
      <c r="H40" s="640"/>
      <c r="I40" s="640"/>
      <c r="J40" s="640"/>
      <c r="K40" s="999">
        <v>189.76</v>
      </c>
      <c r="L40" s="612">
        <f>'통장내역(환율표)'!$D$231</f>
        <v>7.2228999555822639</v>
      </c>
      <c r="M40" s="990">
        <f t="shared" si="7"/>
        <v>26.271996174243391</v>
      </c>
      <c r="N40" s="1009">
        <f t="shared" si="3"/>
        <v>354183.28000000009</v>
      </c>
      <c r="O40" s="1009">
        <f t="shared" si="4"/>
        <v>48787.571552100679</v>
      </c>
      <c r="P40" s="992" t="s">
        <v>1390</v>
      </c>
      <c r="Q40" s="713"/>
      <c r="R40" s="713"/>
      <c r="S40" s="1055">
        <f t="shared" si="6"/>
        <v>2906.5704898476915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ht="11.25" customHeight="1">
      <c r="B41" s="639">
        <v>45646</v>
      </c>
      <c r="C41" s="1046" t="s">
        <v>1261</v>
      </c>
      <c r="D41" s="1002"/>
      <c r="E41" s="998">
        <v>16</v>
      </c>
      <c r="F41" s="640" t="s">
        <v>116</v>
      </c>
      <c r="G41" s="640" t="s">
        <v>140</v>
      </c>
      <c r="H41" s="640"/>
      <c r="I41" s="640"/>
      <c r="J41" s="640"/>
      <c r="K41" s="999">
        <v>299.2</v>
      </c>
      <c r="L41" s="612">
        <f>'통장내역(환율표)'!$D$231</f>
        <v>7.2228999555822639</v>
      </c>
      <c r="M41" s="990">
        <f t="shared" si="7"/>
        <v>41.423805097668755</v>
      </c>
      <c r="N41" s="1009">
        <f t="shared" si="3"/>
        <v>353884.08000000007</v>
      </c>
      <c r="O41" s="1009">
        <f t="shared" si="4"/>
        <v>48746.147747003008</v>
      </c>
      <c r="P41" s="992" t="s">
        <v>1390</v>
      </c>
      <c r="Q41" s="713"/>
      <c r="R41" s="713"/>
      <c r="S41" s="1055">
        <f t="shared" si="6"/>
        <v>2865.1466847500228</v>
      </c>
    </row>
    <row r="42" spans="1:29" ht="11.25" customHeight="1">
      <c r="B42" s="639">
        <v>45646</v>
      </c>
      <c r="C42" s="1046" t="s">
        <v>1262</v>
      </c>
      <c r="D42" s="1002"/>
      <c r="E42" s="998">
        <v>17</v>
      </c>
      <c r="F42" s="640" t="s">
        <v>107</v>
      </c>
      <c r="G42" s="640"/>
      <c r="H42" s="640"/>
      <c r="I42" s="640"/>
      <c r="J42" s="640"/>
      <c r="K42" s="999">
        <v>12</v>
      </c>
      <c r="L42" s="612">
        <f>'통장내역(환율표)'!$D$231</f>
        <v>7.2228999555822639</v>
      </c>
      <c r="M42" s="990">
        <f t="shared" si="7"/>
        <v>1.6613825573931318</v>
      </c>
      <c r="N42" s="1009">
        <f t="shared" si="3"/>
        <v>353872.08000000007</v>
      </c>
      <c r="O42" s="1009">
        <f t="shared" si="4"/>
        <v>48744.486364445613</v>
      </c>
      <c r="P42" s="992" t="s">
        <v>1390</v>
      </c>
      <c r="Q42" s="713"/>
      <c r="R42" s="713"/>
      <c r="S42" s="1055">
        <f t="shared" si="6"/>
        <v>2863.4853021926297</v>
      </c>
    </row>
    <row r="43" spans="1:29" ht="11.25" customHeight="1">
      <c r="B43" s="639">
        <v>45646</v>
      </c>
      <c r="C43" s="1046" t="s">
        <v>1308</v>
      </c>
      <c r="D43" s="1002"/>
      <c r="E43" s="998">
        <v>18</v>
      </c>
      <c r="F43" s="640" t="s">
        <v>125</v>
      </c>
      <c r="G43" s="1053" t="s">
        <v>145</v>
      </c>
      <c r="H43" s="1053"/>
      <c r="I43" s="1053"/>
      <c r="J43" s="1053"/>
      <c r="K43" s="1000">
        <v>8866.4699999999993</v>
      </c>
      <c r="L43" s="612">
        <f>'통장내역(환율표)'!$D$231</f>
        <v>7.2228999555822639</v>
      </c>
      <c r="M43" s="990">
        <f t="shared" si="7"/>
        <v>1227.5498836374568</v>
      </c>
      <c r="N43" s="1009">
        <f t="shared" si="3"/>
        <v>345005.6100000001</v>
      </c>
      <c r="O43" s="1009">
        <f t="shared" si="4"/>
        <v>47516.936480808159</v>
      </c>
      <c r="P43" s="992" t="s">
        <v>1390</v>
      </c>
      <c r="Q43" s="713"/>
      <c r="R43" s="713"/>
      <c r="S43" s="1055">
        <f t="shared" si="6"/>
        <v>1635.9354185551729</v>
      </c>
    </row>
    <row r="44" spans="1:29" ht="11.25" customHeight="1">
      <c r="B44" s="639">
        <v>45646</v>
      </c>
      <c r="C44" s="1046" t="s">
        <v>865</v>
      </c>
      <c r="D44" s="1002"/>
      <c r="E44" s="998">
        <v>19</v>
      </c>
      <c r="F44" s="640" t="s">
        <v>107</v>
      </c>
      <c r="G44" s="1053"/>
      <c r="H44" s="1053"/>
      <c r="I44" s="1053"/>
      <c r="J44" s="1053"/>
      <c r="K44" s="1000">
        <v>3.6</v>
      </c>
      <c r="L44" s="612">
        <f>'통장내역(환율표)'!$D$231</f>
        <v>7.2228999555822639</v>
      </c>
      <c r="M44" s="990">
        <f t="shared" si="7"/>
        <v>0.49841476721793954</v>
      </c>
      <c r="N44" s="1009">
        <f t="shared" si="3"/>
        <v>345002.01000000013</v>
      </c>
      <c r="O44" s="1009">
        <f t="shared" si="4"/>
        <v>47516.438066040944</v>
      </c>
      <c r="P44" s="992" t="s">
        <v>1390</v>
      </c>
      <c r="Q44" s="713"/>
      <c r="R44" s="713"/>
      <c r="S44" s="1055">
        <f t="shared" si="6"/>
        <v>1635.4370037879548</v>
      </c>
    </row>
    <row r="45" spans="1:29" ht="11.25" customHeight="1">
      <c r="B45" s="639">
        <v>45646</v>
      </c>
      <c r="C45" s="1046" t="s">
        <v>1165</v>
      </c>
      <c r="D45" s="1002"/>
      <c r="E45" s="998">
        <v>20</v>
      </c>
      <c r="F45" s="640" t="s">
        <v>146</v>
      </c>
      <c r="G45" s="1053" t="s">
        <v>147</v>
      </c>
      <c r="H45" s="1053"/>
      <c r="I45" s="1053"/>
      <c r="J45" s="1053"/>
      <c r="K45" s="1000">
        <v>1592.21</v>
      </c>
      <c r="L45" s="612">
        <f>'통장내역(환율표)'!$D$231</f>
        <v>7.2228999555822639</v>
      </c>
      <c r="M45" s="990">
        <f t="shared" si="7"/>
        <v>220.4391601422432</v>
      </c>
      <c r="N45" s="1009">
        <f t="shared" si="3"/>
        <v>343409.8000000001</v>
      </c>
      <c r="O45" s="1009">
        <f t="shared" si="4"/>
        <v>47295.998905898698</v>
      </c>
      <c r="P45" s="992" t="s">
        <v>1390</v>
      </c>
      <c r="Q45" s="713"/>
      <c r="R45" s="713"/>
      <c r="S45" s="1055">
        <f t="shared" si="6"/>
        <v>1414.9978436457116</v>
      </c>
    </row>
    <row r="46" spans="1:29" ht="11.25" customHeight="1">
      <c r="B46" s="639">
        <v>45646</v>
      </c>
      <c r="C46" s="1046" t="s">
        <v>1401</v>
      </c>
      <c r="D46" s="1002"/>
      <c r="E46" s="1053">
        <v>21</v>
      </c>
      <c r="F46" s="1053" t="s">
        <v>107</v>
      </c>
      <c r="G46" s="1054"/>
      <c r="H46" s="1053"/>
      <c r="I46" s="1053"/>
      <c r="J46" s="1053"/>
      <c r="K46" s="1000">
        <v>800</v>
      </c>
      <c r="L46" s="612">
        <f>'통장내역(환율표)'!$D$231</f>
        <v>7.2228999555822639</v>
      </c>
      <c r="M46" s="990">
        <f t="shared" si="7"/>
        <v>110.75883715954213</v>
      </c>
      <c r="N46" s="1009">
        <f t="shared" si="3"/>
        <v>342609.8000000001</v>
      </c>
      <c r="O46" s="1009">
        <f t="shared" si="4"/>
        <v>47185.240068739156</v>
      </c>
      <c r="P46" s="992" t="s">
        <v>1390</v>
      </c>
      <c r="Q46" s="713"/>
      <c r="R46" s="713"/>
      <c r="S46" s="1055">
        <f t="shared" si="6"/>
        <v>1304.2390064861695</v>
      </c>
    </row>
    <row r="47" spans="1:29" ht="11.25" customHeight="1">
      <c r="B47" s="639">
        <v>45646</v>
      </c>
      <c r="C47" s="1046" t="s">
        <v>852</v>
      </c>
      <c r="D47" s="1002"/>
      <c r="E47" s="998">
        <v>22</v>
      </c>
      <c r="F47" s="1053" t="s">
        <v>107</v>
      </c>
      <c r="G47" s="1053"/>
      <c r="H47" s="1053"/>
      <c r="I47" s="1053"/>
      <c r="J47" s="1053"/>
      <c r="K47" s="1000">
        <v>268.95</v>
      </c>
      <c r="L47" s="612">
        <f>'통장내역(환율표)'!$D$231</f>
        <v>7.2228999555822639</v>
      </c>
      <c r="M47" s="990">
        <f t="shared" ref="M47:M52" si="8">K47/L47</f>
        <v>37.235736567573568</v>
      </c>
      <c r="N47" s="1009">
        <f t="shared" si="3"/>
        <v>342340.85000000009</v>
      </c>
      <c r="O47" s="1009">
        <f t="shared" si="4"/>
        <v>47148.004332171586</v>
      </c>
      <c r="P47" s="992" t="s">
        <v>1390</v>
      </c>
      <c r="Q47" s="713"/>
      <c r="R47" s="713"/>
      <c r="S47" s="1055">
        <f t="shared" si="6"/>
        <v>1267.0032699185958</v>
      </c>
    </row>
    <row r="48" spans="1:29" ht="11.25" customHeight="1">
      <c r="B48" s="639">
        <v>45646</v>
      </c>
      <c r="C48" s="1046" t="s">
        <v>851</v>
      </c>
      <c r="D48" s="1031"/>
      <c r="E48" s="998">
        <v>23</v>
      </c>
      <c r="F48" s="1053" t="s">
        <v>116</v>
      </c>
      <c r="G48" s="1053" t="s">
        <v>140</v>
      </c>
      <c r="H48" s="1053"/>
      <c r="I48" s="1053"/>
      <c r="J48" s="1053"/>
      <c r="K48" s="1000">
        <v>138.6</v>
      </c>
      <c r="L48" s="612">
        <f>'통장내역(환율표)'!$D$231</f>
        <v>7.2228999555822639</v>
      </c>
      <c r="M48" s="990">
        <f t="shared" si="8"/>
        <v>19.188968537890673</v>
      </c>
      <c r="N48" s="1009">
        <f t="shared" si="3"/>
        <v>342202.25000000012</v>
      </c>
      <c r="O48" s="1009">
        <f t="shared" si="4"/>
        <v>47128.815363633694</v>
      </c>
      <c r="P48" s="992" t="s">
        <v>1390</v>
      </c>
      <c r="Q48" s="713"/>
      <c r="R48" s="713"/>
      <c r="S48" s="1055">
        <f t="shared" si="6"/>
        <v>1247.8143013807053</v>
      </c>
    </row>
    <row r="49" spans="2:19" ht="11.25" customHeight="1">
      <c r="B49" s="639">
        <v>45646</v>
      </c>
      <c r="C49" s="1046" t="s">
        <v>865</v>
      </c>
      <c r="D49" s="1002"/>
      <c r="E49" s="998">
        <v>24</v>
      </c>
      <c r="F49" s="1053" t="s">
        <v>107</v>
      </c>
      <c r="G49" s="1053"/>
      <c r="H49" s="1053"/>
      <c r="I49" s="1053"/>
      <c r="J49" s="1053"/>
      <c r="K49" s="1000">
        <v>3.6</v>
      </c>
      <c r="L49" s="612">
        <f>'통장내역(환율표)'!$D$231</f>
        <v>7.2228999555822639</v>
      </c>
      <c r="M49" s="990">
        <f t="shared" si="8"/>
        <v>0.49841476721793954</v>
      </c>
      <c r="N49" s="1009">
        <f t="shared" si="3"/>
        <v>342198.65000000014</v>
      </c>
      <c r="O49" s="1009">
        <f t="shared" si="4"/>
        <v>47128.316948866479</v>
      </c>
      <c r="P49" s="992" t="s">
        <v>1390</v>
      </c>
      <c r="Q49" s="713"/>
      <c r="R49" s="713"/>
      <c r="S49" s="1055">
        <f t="shared" si="6"/>
        <v>1247.3158866134872</v>
      </c>
    </row>
    <row r="50" spans="2:19" ht="11.25" customHeight="1">
      <c r="B50" s="639">
        <v>45646</v>
      </c>
      <c r="C50" s="1046" t="s">
        <v>1020</v>
      </c>
      <c r="D50" s="1002"/>
      <c r="E50" s="998">
        <v>25</v>
      </c>
      <c r="F50" s="1053" t="s">
        <v>116</v>
      </c>
      <c r="G50" s="1053" t="s">
        <v>140</v>
      </c>
      <c r="H50" s="1053"/>
      <c r="I50" s="1053"/>
      <c r="J50" s="1053"/>
      <c r="K50" s="1000">
        <v>299.39999999999998</v>
      </c>
      <c r="L50" s="612">
        <f>'통장내역(환율표)'!$D$231</f>
        <v>7.2228999555822639</v>
      </c>
      <c r="M50" s="990">
        <f t="shared" si="8"/>
        <v>41.451494806958635</v>
      </c>
      <c r="N50" s="1009">
        <f t="shared" si="3"/>
        <v>341899.25000000012</v>
      </c>
      <c r="O50" s="1009">
        <f t="shared" si="4"/>
        <v>47086.865454059523</v>
      </c>
      <c r="P50" s="992" t="s">
        <v>1390</v>
      </c>
      <c r="Q50" s="713"/>
      <c r="R50" s="713"/>
      <c r="S50" s="1055">
        <f t="shared" si="6"/>
        <v>1205.8643918065286</v>
      </c>
    </row>
    <row r="51" spans="2:19" ht="11.25" customHeight="1">
      <c r="B51" s="639">
        <v>45646</v>
      </c>
      <c r="C51" s="1046" t="s">
        <v>1396</v>
      </c>
      <c r="D51" s="1002"/>
      <c r="E51" s="1053">
        <v>26</v>
      </c>
      <c r="F51" s="1053" t="s">
        <v>146</v>
      </c>
      <c r="G51" s="1053" t="s">
        <v>147</v>
      </c>
      <c r="H51" s="1053"/>
      <c r="I51" s="1053"/>
      <c r="J51" s="1053"/>
      <c r="K51" s="1000">
        <v>916.56</v>
      </c>
      <c r="L51" s="612">
        <f>'통장내역(환율표)'!$D$231</f>
        <v>7.2228999555822639</v>
      </c>
      <c r="M51" s="990">
        <f t="shared" si="8"/>
        <v>126.8963997336874</v>
      </c>
      <c r="N51" s="1009">
        <f t="shared" si="3"/>
        <v>340982.69000000012</v>
      </c>
      <c r="O51" s="1009">
        <f t="shared" si="4"/>
        <v>46959.969054325833</v>
      </c>
      <c r="P51" s="992" t="s">
        <v>1390</v>
      </c>
      <c r="Q51" s="713"/>
      <c r="R51" s="713"/>
      <c r="S51" s="1055">
        <f t="shared" si="6"/>
        <v>1078.9679920728413</v>
      </c>
    </row>
    <row r="52" spans="2:19" ht="11.25" customHeight="1">
      <c r="B52" s="639">
        <v>45646</v>
      </c>
      <c r="C52" s="1046" t="s">
        <v>1397</v>
      </c>
      <c r="D52" s="1002"/>
      <c r="E52" s="998">
        <v>27</v>
      </c>
      <c r="F52" s="1053" t="s">
        <v>107</v>
      </c>
      <c r="G52" s="1053"/>
      <c r="H52" s="1053"/>
      <c r="I52" s="1053"/>
      <c r="J52" s="1053"/>
      <c r="K52" s="1000">
        <v>741.88</v>
      </c>
      <c r="L52" s="612">
        <f>'통장내역(환율표)'!$D$231</f>
        <v>7.2228999555822639</v>
      </c>
      <c r="M52" s="990">
        <f t="shared" si="8"/>
        <v>102.71220763990139</v>
      </c>
      <c r="N52" s="1009">
        <f t="shared" si="3"/>
        <v>340240.81000000011</v>
      </c>
      <c r="O52" s="1009">
        <f t="shared" si="4"/>
        <v>46857.25684668593</v>
      </c>
      <c r="P52" s="992" t="s">
        <v>1390</v>
      </c>
      <c r="Q52" s="713"/>
      <c r="R52" s="713"/>
      <c r="S52" s="1055">
        <f t="shared" si="6"/>
        <v>976.25578443293989</v>
      </c>
    </row>
    <row r="53" spans="2:19" ht="11.25" customHeight="1">
      <c r="B53" s="793">
        <v>45646</v>
      </c>
      <c r="C53" s="1056" t="s">
        <v>1398</v>
      </c>
      <c r="D53" s="1057"/>
      <c r="E53" s="1058">
        <v>28</v>
      </c>
      <c r="F53" s="1059" t="s">
        <v>146</v>
      </c>
      <c r="G53" s="1059" t="s">
        <v>147</v>
      </c>
      <c r="H53" s="1059"/>
      <c r="I53" s="1059"/>
      <c r="J53" s="1059"/>
      <c r="K53" s="1060">
        <f>M53*L53</f>
        <v>7051.3978620176094</v>
      </c>
      <c r="L53" s="801">
        <f>'통장내역(환율표)'!$D$231</f>
        <v>7.2228999555822639</v>
      </c>
      <c r="M53" s="990">
        <v>976.25578443293989</v>
      </c>
      <c r="N53" s="1012">
        <f t="shared" si="3"/>
        <v>333189.41213798249</v>
      </c>
      <c r="O53" s="1012">
        <f t="shared" si="4"/>
        <v>45881.001062252988</v>
      </c>
      <c r="P53" s="1061" t="s">
        <v>1390</v>
      </c>
      <c r="Q53" s="805"/>
      <c r="R53" s="805"/>
      <c r="S53" s="1055">
        <f t="shared" si="6"/>
        <v>0</v>
      </c>
    </row>
    <row r="54" spans="2:19" ht="11.25" customHeight="1">
      <c r="B54" s="793">
        <v>45646</v>
      </c>
      <c r="C54" s="1056" t="s">
        <v>1398</v>
      </c>
      <c r="D54" s="1057"/>
      <c r="E54" s="1058">
        <v>28</v>
      </c>
      <c r="F54" s="1059" t="s">
        <v>146</v>
      </c>
      <c r="G54" s="1059" t="s">
        <v>147</v>
      </c>
      <c r="H54" s="1059"/>
      <c r="I54" s="1059"/>
      <c r="J54" s="1059"/>
      <c r="K54" s="1060">
        <f>18133.96-K53</f>
        <v>11082.56213798239</v>
      </c>
      <c r="L54" s="801">
        <f>'통장내역(환율표)'!$D$238</f>
        <v>7.2637000065386541</v>
      </c>
      <c r="M54" s="1062">
        <f t="shared" si="5"/>
        <v>1525.7461249784633</v>
      </c>
      <c r="N54" s="1012">
        <f t="shared" ref="N54:N96" si="9">N53+H54-K54</f>
        <v>322106.85000000009</v>
      </c>
      <c r="O54" s="1012">
        <f t="shared" ref="O54:O96" si="10">O53+J54-M54</f>
        <v>44355.254937274527</v>
      </c>
      <c r="P54" s="1061" t="s">
        <v>1407</v>
      </c>
      <c r="Q54" s="805"/>
      <c r="R54" s="805"/>
      <c r="S54" s="1055">
        <f>45881-M54</f>
        <v>44355.253875021539</v>
      </c>
    </row>
    <row r="55" spans="2:19" ht="11.25" customHeight="1">
      <c r="B55" s="639">
        <v>45646</v>
      </c>
      <c r="C55" s="1046" t="s">
        <v>1399</v>
      </c>
      <c r="D55" s="1002"/>
      <c r="E55" s="998">
        <v>29</v>
      </c>
      <c r="F55" s="1053" t="s">
        <v>107</v>
      </c>
      <c r="G55" s="1053"/>
      <c r="H55" s="1053"/>
      <c r="I55" s="1053"/>
      <c r="J55" s="1053"/>
      <c r="K55" s="1000">
        <v>1171.71</v>
      </c>
      <c r="L55" s="612">
        <f>'통장내역(환율표)'!$D$238</f>
        <v>7.2637000065386541</v>
      </c>
      <c r="M55" s="1062">
        <f t="shared" si="5"/>
        <v>161.31035132855808</v>
      </c>
      <c r="N55" s="1009">
        <f t="shared" si="9"/>
        <v>320935.14000000007</v>
      </c>
      <c r="O55" s="1009">
        <f t="shared" si="10"/>
        <v>44193.944585945967</v>
      </c>
      <c r="P55" s="992" t="s">
        <v>1080</v>
      </c>
      <c r="Q55" s="713"/>
      <c r="R55" s="713"/>
      <c r="S55" s="1055">
        <f>S54-M55</f>
        <v>44193.943523692978</v>
      </c>
    </row>
    <row r="56" spans="2:19" ht="11.25" customHeight="1">
      <c r="B56" s="639">
        <v>45646</v>
      </c>
      <c r="C56" s="1046" t="s">
        <v>1400</v>
      </c>
      <c r="D56" s="1002"/>
      <c r="E56" s="640">
        <v>30</v>
      </c>
      <c r="F56" s="640" t="s">
        <v>107</v>
      </c>
      <c r="G56" s="640"/>
      <c r="H56" s="640"/>
      <c r="I56" s="640"/>
      <c r="J56" s="640"/>
      <c r="K56" s="999">
        <v>802</v>
      </c>
      <c r="L56" s="612">
        <f>'통장내역(환율표)'!$D$238</f>
        <v>7.2637000065386541</v>
      </c>
      <c r="M56" s="1062">
        <f t="shared" si="5"/>
        <v>110.41204885637538</v>
      </c>
      <c r="N56" s="1009">
        <f t="shared" si="9"/>
        <v>320133.14000000007</v>
      </c>
      <c r="O56" s="1009">
        <f t="shared" si="10"/>
        <v>44083.532537089588</v>
      </c>
      <c r="P56" s="992" t="s">
        <v>1080</v>
      </c>
      <c r="Q56" s="713"/>
      <c r="R56" s="713"/>
      <c r="S56" s="1055">
        <f t="shared" ref="S56:S96" si="11">S55-M56</f>
        <v>44083.5314748366</v>
      </c>
    </row>
    <row r="57" spans="2:19" ht="11.25" customHeight="1">
      <c r="B57" s="639">
        <v>45646</v>
      </c>
      <c r="C57" s="1046" t="s">
        <v>1157</v>
      </c>
      <c r="D57" s="1002"/>
      <c r="E57" s="998">
        <v>31</v>
      </c>
      <c r="F57" s="640" t="s">
        <v>125</v>
      </c>
      <c r="G57" s="640" t="s">
        <v>145</v>
      </c>
      <c r="H57" s="640"/>
      <c r="I57" s="640"/>
      <c r="J57" s="640"/>
      <c r="K57" s="999">
        <v>173</v>
      </c>
      <c r="L57" s="612">
        <f>'통장내역(환율표)'!$D$238</f>
        <v>7.2637000065386541</v>
      </c>
      <c r="M57" s="1062">
        <f t="shared" si="5"/>
        <v>23.817062907921372</v>
      </c>
      <c r="N57" s="1009">
        <f t="shared" si="9"/>
        <v>319960.14000000007</v>
      </c>
      <c r="O57" s="1009">
        <f t="shared" si="10"/>
        <v>44059.715474181663</v>
      </c>
      <c r="P57" s="992" t="s">
        <v>1080</v>
      </c>
      <c r="Q57" s="713"/>
      <c r="R57" s="713"/>
      <c r="S57" s="1055">
        <f t="shared" si="11"/>
        <v>44059.714411928675</v>
      </c>
    </row>
    <row r="58" spans="2:19" ht="11.25" customHeight="1">
      <c r="B58" s="639">
        <v>45646</v>
      </c>
      <c r="C58" s="1046" t="s">
        <v>865</v>
      </c>
      <c r="D58" s="1002"/>
      <c r="E58" s="998">
        <v>32</v>
      </c>
      <c r="F58" s="640" t="s">
        <v>107</v>
      </c>
      <c r="G58" s="640"/>
      <c r="H58" s="640"/>
      <c r="I58" s="640"/>
      <c r="J58" s="640"/>
      <c r="K58" s="999">
        <v>7.2</v>
      </c>
      <c r="L58" s="612">
        <f>'통장내역(환율표)'!$D$238</f>
        <v>7.2637000065386541</v>
      </c>
      <c r="M58" s="1062">
        <f t="shared" si="5"/>
        <v>0.99123036379788365</v>
      </c>
      <c r="N58" s="1009">
        <f t="shared" si="9"/>
        <v>319952.94000000006</v>
      </c>
      <c r="O58" s="1009">
        <f t="shared" si="10"/>
        <v>44058.724243817865</v>
      </c>
      <c r="P58" s="992" t="s">
        <v>1080</v>
      </c>
      <c r="Q58" s="713"/>
      <c r="R58" s="713"/>
      <c r="S58" s="1055">
        <f t="shared" si="11"/>
        <v>44058.723181564877</v>
      </c>
    </row>
    <row r="59" spans="2:19" ht="11.25" customHeight="1">
      <c r="B59" s="639">
        <v>45646</v>
      </c>
      <c r="C59" s="1046" t="s">
        <v>1402</v>
      </c>
      <c r="D59" s="1002"/>
      <c r="E59" s="640">
        <v>33</v>
      </c>
      <c r="F59" s="640" t="s">
        <v>107</v>
      </c>
      <c r="G59" s="640"/>
      <c r="H59" s="640"/>
      <c r="I59" s="640"/>
      <c r="J59" s="640"/>
      <c r="K59" s="999">
        <v>21155</v>
      </c>
      <c r="L59" s="612">
        <f>'통장내역(환율표)'!$D$238</f>
        <v>7.2637000065386541</v>
      </c>
      <c r="M59" s="1062">
        <f t="shared" si="5"/>
        <v>2912.4275480755873</v>
      </c>
      <c r="N59" s="1009">
        <f t="shared" si="9"/>
        <v>298797.94000000006</v>
      </c>
      <c r="O59" s="1009">
        <f t="shared" si="10"/>
        <v>41146.296695742276</v>
      </c>
      <c r="P59" s="992" t="s">
        <v>1080</v>
      </c>
      <c r="Q59" s="713"/>
      <c r="R59" s="713"/>
      <c r="S59" s="1055">
        <f t="shared" si="11"/>
        <v>41146.295633489288</v>
      </c>
    </row>
    <row r="60" spans="2:19" ht="11.25" customHeight="1">
      <c r="B60" s="639">
        <v>45646</v>
      </c>
      <c r="C60" s="1046" t="s">
        <v>1349</v>
      </c>
      <c r="D60" s="1002"/>
      <c r="E60" s="998">
        <v>34</v>
      </c>
      <c r="F60" s="640" t="s">
        <v>146</v>
      </c>
      <c r="G60" s="640" t="s">
        <v>147</v>
      </c>
      <c r="H60" s="640"/>
      <c r="I60" s="640"/>
      <c r="J60" s="640"/>
      <c r="K60" s="999">
        <v>15183.25</v>
      </c>
      <c r="L60" s="612">
        <f>'통장내역(환율표)'!$D$238</f>
        <v>7.2637000065386541</v>
      </c>
      <c r="M60" s="1062">
        <f t="shared" si="5"/>
        <v>2090.2914473797523</v>
      </c>
      <c r="N60" s="1009">
        <f t="shared" si="9"/>
        <v>283614.69000000006</v>
      </c>
      <c r="O60" s="1009">
        <f t="shared" si="10"/>
        <v>39056.005248362526</v>
      </c>
      <c r="P60" s="992" t="s">
        <v>1080</v>
      </c>
      <c r="Q60" s="713"/>
      <c r="R60" s="713"/>
      <c r="S60" s="1055">
        <f t="shared" si="11"/>
        <v>39056.004186109538</v>
      </c>
    </row>
    <row r="61" spans="2:19" ht="11.25" customHeight="1">
      <c r="B61" s="639">
        <v>45646</v>
      </c>
      <c r="C61" s="1046" t="s">
        <v>839</v>
      </c>
      <c r="D61" s="1002"/>
      <c r="E61" s="998">
        <v>35</v>
      </c>
      <c r="F61" s="640" t="s">
        <v>125</v>
      </c>
      <c r="G61" s="640" t="s">
        <v>145</v>
      </c>
      <c r="H61" s="640"/>
      <c r="I61" s="640"/>
      <c r="J61" s="640"/>
      <c r="K61" s="999">
        <v>8298</v>
      </c>
      <c r="L61" s="612">
        <f>'통장내역(환율표)'!$D$238</f>
        <v>7.2637000065386541</v>
      </c>
      <c r="M61" s="1062">
        <f t="shared" si="5"/>
        <v>1142.392994277061</v>
      </c>
      <c r="N61" s="1009">
        <f t="shared" si="9"/>
        <v>275316.69000000006</v>
      </c>
      <c r="O61" s="1009">
        <f t="shared" si="10"/>
        <v>37913.612254085463</v>
      </c>
      <c r="P61" s="992" t="s">
        <v>1080</v>
      </c>
      <c r="Q61" s="713"/>
      <c r="R61" s="713"/>
      <c r="S61" s="1055">
        <f t="shared" si="11"/>
        <v>37913.611191832475</v>
      </c>
    </row>
    <row r="62" spans="2:19" ht="11.25" customHeight="1">
      <c r="B62" s="639">
        <v>45646</v>
      </c>
      <c r="C62" s="1046" t="s">
        <v>865</v>
      </c>
      <c r="D62" s="1002"/>
      <c r="E62" s="998">
        <v>36</v>
      </c>
      <c r="F62" s="640" t="s">
        <v>107</v>
      </c>
      <c r="G62" s="640"/>
      <c r="H62" s="640"/>
      <c r="I62" s="640"/>
      <c r="J62" s="640"/>
      <c r="K62" s="999">
        <v>7.2</v>
      </c>
      <c r="L62" s="612">
        <f>'통장내역(환율표)'!$D$238</f>
        <v>7.2637000065386541</v>
      </c>
      <c r="M62" s="1062">
        <f t="shared" si="5"/>
        <v>0.99123036379788365</v>
      </c>
      <c r="N62" s="1009">
        <f t="shared" si="9"/>
        <v>275309.49000000005</v>
      </c>
      <c r="O62" s="1009">
        <f t="shared" si="10"/>
        <v>37912.621023721666</v>
      </c>
      <c r="P62" s="992" t="s">
        <v>1080</v>
      </c>
      <c r="Q62" s="713"/>
      <c r="R62" s="713"/>
      <c r="S62" s="1055">
        <f t="shared" si="11"/>
        <v>37912.619961468678</v>
      </c>
    </row>
    <row r="63" spans="2:19" ht="11.25" customHeight="1">
      <c r="B63" s="639">
        <v>45646</v>
      </c>
      <c r="C63" s="1046" t="s">
        <v>1008</v>
      </c>
      <c r="D63" s="1002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999">
        <v>2375</v>
      </c>
      <c r="L63" s="612">
        <f>'통장내역(환율표)'!$D$238</f>
        <v>7.2637000065386541</v>
      </c>
      <c r="M63" s="1062">
        <f t="shared" si="5"/>
        <v>326.96834916944078</v>
      </c>
      <c r="N63" s="1009">
        <f t="shared" si="9"/>
        <v>272934.49000000005</v>
      </c>
      <c r="O63" s="1009">
        <f t="shared" si="10"/>
        <v>37585.652674552228</v>
      </c>
      <c r="P63" s="992" t="s">
        <v>1080</v>
      </c>
      <c r="Q63" s="713"/>
      <c r="R63" s="713"/>
      <c r="S63" s="1055">
        <f t="shared" si="11"/>
        <v>37585.65161229924</v>
      </c>
    </row>
    <row r="64" spans="2:19" ht="11.25" customHeight="1">
      <c r="B64" s="639">
        <v>45646</v>
      </c>
      <c r="C64" s="1046" t="s">
        <v>1006</v>
      </c>
      <c r="D64" s="1002"/>
      <c r="E64" s="998">
        <v>38</v>
      </c>
      <c r="F64" s="640" t="s">
        <v>146</v>
      </c>
      <c r="G64" s="640" t="s">
        <v>147</v>
      </c>
      <c r="H64" s="640"/>
      <c r="I64" s="640"/>
      <c r="J64" s="640"/>
      <c r="K64" s="999">
        <v>114</v>
      </c>
      <c r="L64" s="612">
        <f>'통장내역(환율표)'!$D$238</f>
        <v>7.2637000065386541</v>
      </c>
      <c r="M64" s="1062">
        <f t="shared" si="5"/>
        <v>15.694480760133159</v>
      </c>
      <c r="N64" s="1009">
        <f t="shared" si="9"/>
        <v>272820.49000000005</v>
      </c>
      <c r="O64" s="1009">
        <f t="shared" si="10"/>
        <v>37569.958193792096</v>
      </c>
      <c r="P64" s="992" t="s">
        <v>1080</v>
      </c>
      <c r="Q64" s="713"/>
      <c r="R64" s="713"/>
      <c r="S64" s="1055">
        <f t="shared" si="11"/>
        <v>37569.957131539108</v>
      </c>
    </row>
    <row r="65" spans="2:19" ht="11.25" customHeight="1">
      <c r="B65" s="639">
        <v>45646</v>
      </c>
      <c r="C65" s="1046" t="s">
        <v>1007</v>
      </c>
      <c r="D65" s="1002"/>
      <c r="E65" s="998">
        <v>39</v>
      </c>
      <c r="F65" s="640" t="s">
        <v>146</v>
      </c>
      <c r="G65" s="640" t="s">
        <v>147</v>
      </c>
      <c r="H65" s="640"/>
      <c r="I65" s="640"/>
      <c r="J65" s="640"/>
      <c r="K65" s="999">
        <v>663</v>
      </c>
      <c r="L65" s="612">
        <f>'통장내역(환율표)'!$D$238</f>
        <v>7.2637000065386541</v>
      </c>
      <c r="M65" s="1062">
        <f t="shared" si="5"/>
        <v>91.27579599972178</v>
      </c>
      <c r="N65" s="1009">
        <f t="shared" si="9"/>
        <v>272157.49000000005</v>
      </c>
      <c r="O65" s="1009">
        <f t="shared" si="10"/>
        <v>37478.68239779237</v>
      </c>
      <c r="P65" s="992" t="s">
        <v>1080</v>
      </c>
      <c r="Q65" s="713"/>
      <c r="R65" s="713"/>
      <c r="S65" s="1055">
        <f t="shared" si="11"/>
        <v>37478.681335539382</v>
      </c>
    </row>
    <row r="66" spans="2:19" ht="11.25" customHeight="1">
      <c r="B66" s="639">
        <v>45646</v>
      </c>
      <c r="C66" s="1046" t="s">
        <v>865</v>
      </c>
      <c r="D66" s="1002"/>
      <c r="E66" s="998">
        <v>40</v>
      </c>
      <c r="F66" s="640" t="s">
        <v>107</v>
      </c>
      <c r="G66" s="640"/>
      <c r="H66" s="640"/>
      <c r="I66" s="640"/>
      <c r="J66" s="640"/>
      <c r="K66" s="999">
        <v>3.6</v>
      </c>
      <c r="L66" s="612">
        <f>'통장내역(환율표)'!$D$238</f>
        <v>7.2637000065386541</v>
      </c>
      <c r="M66" s="1062">
        <f t="shared" si="5"/>
        <v>0.49561518189894183</v>
      </c>
      <c r="N66" s="1009">
        <f t="shared" si="9"/>
        <v>272153.89000000007</v>
      </c>
      <c r="O66" s="1009">
        <f t="shared" si="10"/>
        <v>37478.186782610472</v>
      </c>
      <c r="P66" s="992" t="s">
        <v>1080</v>
      </c>
      <c r="Q66" s="713"/>
      <c r="R66" s="713"/>
      <c r="S66" s="1055">
        <f t="shared" si="11"/>
        <v>37478.185720357484</v>
      </c>
    </row>
    <row r="67" spans="2:19" ht="11.25" customHeight="1">
      <c r="B67" s="639">
        <v>45646</v>
      </c>
      <c r="C67" s="1046" t="s">
        <v>1387</v>
      </c>
      <c r="D67" s="1002"/>
      <c r="E67" s="998">
        <v>41</v>
      </c>
      <c r="F67" s="640" t="s">
        <v>146</v>
      </c>
      <c r="G67" s="640" t="s">
        <v>147</v>
      </c>
      <c r="H67" s="640"/>
      <c r="I67" s="640"/>
      <c r="J67" s="640"/>
      <c r="K67" s="999">
        <v>440</v>
      </c>
      <c r="L67" s="612">
        <f>'통장내역(환율표)'!$D$238</f>
        <v>7.2637000065386541</v>
      </c>
      <c r="M67" s="1062">
        <f t="shared" si="5"/>
        <v>60.575188898759556</v>
      </c>
      <c r="N67" s="1009">
        <f t="shared" si="9"/>
        <v>271713.89000000007</v>
      </c>
      <c r="O67" s="1009">
        <f t="shared" si="10"/>
        <v>37417.611593711714</v>
      </c>
      <c r="P67" s="992" t="s">
        <v>1080</v>
      </c>
      <c r="Q67" s="713"/>
      <c r="R67" s="713"/>
      <c r="S67" s="1055">
        <f t="shared" si="11"/>
        <v>37417.610531458726</v>
      </c>
    </row>
    <row r="68" spans="2:19" ht="11.25" customHeight="1">
      <c r="B68" s="639">
        <v>45646</v>
      </c>
      <c r="C68" s="1046" t="s">
        <v>1388</v>
      </c>
      <c r="D68" s="1002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99</v>
      </c>
      <c r="L68" s="612">
        <f>'통장내역(환율표)'!$D$238</f>
        <v>7.2637000065386541</v>
      </c>
      <c r="M68" s="1062">
        <f t="shared" si="5"/>
        <v>13.6294175022209</v>
      </c>
      <c r="N68" s="1009">
        <f t="shared" si="9"/>
        <v>271614.89000000007</v>
      </c>
      <c r="O68" s="1009">
        <f t="shared" si="10"/>
        <v>37403.982176209494</v>
      </c>
      <c r="P68" s="992" t="s">
        <v>1080</v>
      </c>
      <c r="Q68" s="713"/>
      <c r="R68" s="713"/>
      <c r="S68" s="1055">
        <f t="shared" si="11"/>
        <v>37403.981113956506</v>
      </c>
    </row>
    <row r="69" spans="2:19" ht="11.25" customHeight="1">
      <c r="B69" s="639">
        <v>45646</v>
      </c>
      <c r="C69" s="1046" t="s">
        <v>1403</v>
      </c>
      <c r="D69" s="1002"/>
      <c r="E69" s="998">
        <v>43</v>
      </c>
      <c r="F69" s="640" t="s">
        <v>107</v>
      </c>
      <c r="G69" s="640"/>
      <c r="H69" s="640"/>
      <c r="I69" s="640"/>
      <c r="J69" s="640"/>
      <c r="K69" s="999">
        <v>3.6</v>
      </c>
      <c r="L69" s="612">
        <f>'통장내역(환율표)'!$D$238</f>
        <v>7.2637000065386541</v>
      </c>
      <c r="M69" s="1062">
        <f t="shared" si="5"/>
        <v>0.49561518189894183</v>
      </c>
      <c r="N69" s="1009">
        <f t="shared" si="9"/>
        <v>271611.2900000001</v>
      </c>
      <c r="O69" s="1009">
        <f t="shared" si="10"/>
        <v>37403.486561027596</v>
      </c>
      <c r="P69" s="992" t="s">
        <v>1080</v>
      </c>
      <c r="Q69" s="713"/>
      <c r="R69" s="713"/>
      <c r="S69" s="1055">
        <f t="shared" si="11"/>
        <v>37403.485498774608</v>
      </c>
    </row>
    <row r="70" spans="2:19" ht="11.25" customHeight="1">
      <c r="B70" s="639">
        <v>45646</v>
      </c>
      <c r="C70" s="1046" t="s">
        <v>1004</v>
      </c>
      <c r="D70" s="1002"/>
      <c r="E70" s="998">
        <v>44</v>
      </c>
      <c r="F70" s="640" t="s">
        <v>146</v>
      </c>
      <c r="G70" s="640" t="s">
        <v>147</v>
      </c>
      <c r="H70" s="640"/>
      <c r="I70" s="640"/>
      <c r="J70" s="640"/>
      <c r="K70" s="999">
        <v>194</v>
      </c>
      <c r="L70" s="612">
        <f>'통장내역(환율표)'!$D$238</f>
        <v>7.2637000065386541</v>
      </c>
      <c r="M70" s="1062">
        <f t="shared" si="5"/>
        <v>26.708151468998533</v>
      </c>
      <c r="N70" s="1009">
        <f t="shared" si="9"/>
        <v>271417.2900000001</v>
      </c>
      <c r="O70" s="1009">
        <f t="shared" si="10"/>
        <v>37376.778409558596</v>
      </c>
      <c r="P70" s="992" t="s">
        <v>1080</v>
      </c>
      <c r="Q70" s="713"/>
      <c r="R70" s="713"/>
      <c r="S70" s="1055">
        <f t="shared" si="11"/>
        <v>37376.777347305608</v>
      </c>
    </row>
    <row r="71" spans="2:19" ht="11.25" customHeight="1">
      <c r="B71" s="639">
        <v>45646</v>
      </c>
      <c r="C71" s="1046" t="s">
        <v>1005</v>
      </c>
      <c r="D71" s="1002"/>
      <c r="E71" s="998">
        <v>45</v>
      </c>
      <c r="F71" s="640" t="s">
        <v>146</v>
      </c>
      <c r="G71" s="640" t="s">
        <v>147</v>
      </c>
      <c r="H71" s="640"/>
      <c r="I71" s="640"/>
      <c r="J71" s="640"/>
      <c r="K71" s="999">
        <v>560</v>
      </c>
      <c r="L71" s="612">
        <f>'통장내역(환율표)'!$D$238</f>
        <v>7.2637000065386541</v>
      </c>
      <c r="M71" s="1062">
        <f t="shared" si="5"/>
        <v>77.095694962057621</v>
      </c>
      <c r="N71" s="1009">
        <f t="shared" si="9"/>
        <v>270857.2900000001</v>
      </c>
      <c r="O71" s="1009">
        <f t="shared" si="10"/>
        <v>37299.682714596536</v>
      </c>
      <c r="P71" s="992" t="s">
        <v>1080</v>
      </c>
      <c r="Q71" s="713"/>
      <c r="R71" s="713"/>
      <c r="S71" s="1055">
        <f t="shared" si="11"/>
        <v>37299.681652343548</v>
      </c>
    </row>
    <row r="72" spans="2:19" ht="11.25" customHeight="1">
      <c r="B72" s="639">
        <v>45646</v>
      </c>
      <c r="C72" s="1046" t="s">
        <v>1003</v>
      </c>
      <c r="D72" s="1002"/>
      <c r="E72" s="998">
        <v>46</v>
      </c>
      <c r="F72" s="640" t="s">
        <v>146</v>
      </c>
      <c r="G72" s="640" t="s">
        <v>147</v>
      </c>
      <c r="H72" s="640"/>
      <c r="I72" s="640"/>
      <c r="J72" s="640"/>
      <c r="K72" s="999">
        <v>10</v>
      </c>
      <c r="L72" s="612">
        <f>'통장내역(환율표)'!$D$238</f>
        <v>7.2637000065386541</v>
      </c>
      <c r="M72" s="1062">
        <f t="shared" si="5"/>
        <v>1.3767088386081718</v>
      </c>
      <c r="N72" s="1009">
        <f t="shared" si="9"/>
        <v>270847.2900000001</v>
      </c>
      <c r="O72" s="1009">
        <f t="shared" si="10"/>
        <v>37298.306005757928</v>
      </c>
      <c r="P72" s="992" t="s">
        <v>1080</v>
      </c>
      <c r="Q72" s="713"/>
      <c r="R72" s="713"/>
      <c r="S72" s="1055">
        <f t="shared" si="11"/>
        <v>37298.30494350494</v>
      </c>
    </row>
    <row r="73" spans="2:19" ht="11.25" customHeight="1">
      <c r="B73" s="639">
        <v>45646</v>
      </c>
      <c r="C73" s="1046" t="s">
        <v>1404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3.6</v>
      </c>
      <c r="L73" s="612">
        <f>'통장내역(환율표)'!$D$238</f>
        <v>7.2637000065386541</v>
      </c>
      <c r="M73" s="1062">
        <f t="shared" si="5"/>
        <v>0.49561518189894183</v>
      </c>
      <c r="N73" s="1009">
        <f t="shared" si="9"/>
        <v>270843.69000000012</v>
      </c>
      <c r="O73" s="1009">
        <f t="shared" si="10"/>
        <v>37297.810390576029</v>
      </c>
      <c r="P73" s="992" t="s">
        <v>1080</v>
      </c>
      <c r="Q73" s="713"/>
      <c r="R73" s="713"/>
      <c r="S73" s="1055">
        <f t="shared" si="11"/>
        <v>37297.809328323041</v>
      </c>
    </row>
    <row r="74" spans="2:19" ht="11.25" customHeight="1">
      <c r="B74" s="639">
        <v>45647</v>
      </c>
      <c r="C74" s="1047" t="s">
        <v>55</v>
      </c>
      <c r="D74" s="1002"/>
      <c r="E74" s="998">
        <v>48</v>
      </c>
      <c r="F74" s="640" t="s">
        <v>60</v>
      </c>
      <c r="G74" s="640"/>
      <c r="H74" s="999">
        <v>97.84</v>
      </c>
      <c r="I74" s="612">
        <f>'통장내역(환율표)'!$D$238</f>
        <v>7.2637000065386541</v>
      </c>
      <c r="J74" s="1025">
        <f>E74/I74</f>
        <v>6.6082024253192246</v>
      </c>
      <c r="K74" s="994"/>
      <c r="L74" s="612">
        <f>'통장내역(환율표)'!$D$238</f>
        <v>7.2637000065386541</v>
      </c>
      <c r="M74" s="1062"/>
      <c r="N74" s="1009">
        <f t="shared" si="9"/>
        <v>270941.53000000014</v>
      </c>
      <c r="O74" s="1009">
        <f t="shared" si="10"/>
        <v>37304.418593001348</v>
      </c>
      <c r="P74" s="992" t="s">
        <v>1080</v>
      </c>
      <c r="Q74" s="713"/>
      <c r="R74" s="713"/>
      <c r="S74" s="1055">
        <f>S73-M74+J74</f>
        <v>37304.41753074836</v>
      </c>
    </row>
    <row r="75" spans="2:19" ht="11.25" customHeight="1">
      <c r="B75" s="639">
        <v>45647</v>
      </c>
      <c r="C75" s="1046" t="s">
        <v>892</v>
      </c>
      <c r="D75" s="1002"/>
      <c r="E75" s="998">
        <v>49</v>
      </c>
      <c r="F75" s="640" t="s">
        <v>107</v>
      </c>
      <c r="G75" s="640"/>
      <c r="H75" s="640"/>
      <c r="I75" s="640"/>
      <c r="J75" s="640"/>
      <c r="K75" s="999">
        <v>16000</v>
      </c>
      <c r="L75" s="612">
        <f>'통장내역(환율표)'!$D$238</f>
        <v>7.2637000065386541</v>
      </c>
      <c r="M75" s="1062">
        <f t="shared" si="5"/>
        <v>2202.734141773075</v>
      </c>
      <c r="N75" s="1009">
        <f t="shared" si="9"/>
        <v>254941.53000000014</v>
      </c>
      <c r="O75" s="1009">
        <f t="shared" si="10"/>
        <v>35101.68445122827</v>
      </c>
      <c r="P75" s="992" t="s">
        <v>1080</v>
      </c>
      <c r="Q75" s="713"/>
      <c r="R75" s="713" t="s">
        <v>211</v>
      </c>
      <c r="S75" s="1055">
        <f t="shared" si="11"/>
        <v>35101.683388975289</v>
      </c>
    </row>
    <row r="76" spans="2:19" ht="11.25" customHeight="1">
      <c r="B76" s="639">
        <v>45647</v>
      </c>
      <c r="C76" s="1046" t="s">
        <v>947</v>
      </c>
      <c r="D76" s="1002"/>
      <c r="E76" s="998">
        <v>49</v>
      </c>
      <c r="F76" s="640" t="s">
        <v>107</v>
      </c>
      <c r="G76" s="640"/>
      <c r="H76" s="640"/>
      <c r="I76" s="640"/>
      <c r="J76" s="640"/>
      <c r="K76" s="999">
        <v>24000</v>
      </c>
      <c r="L76" s="612">
        <f>'통장내역(환율표)'!$D$238</f>
        <v>7.2637000065386541</v>
      </c>
      <c r="M76" s="1062">
        <f t="shared" si="5"/>
        <v>3304.101212659612</v>
      </c>
      <c r="N76" s="1009">
        <f t="shared" si="9"/>
        <v>230941.53000000014</v>
      </c>
      <c r="O76" s="1009">
        <f t="shared" si="10"/>
        <v>31797.583238568659</v>
      </c>
      <c r="P76" s="992" t="s">
        <v>1080</v>
      </c>
      <c r="Q76" s="713"/>
      <c r="R76" s="713" t="s">
        <v>211</v>
      </c>
      <c r="S76" s="1055">
        <f t="shared" si="11"/>
        <v>31797.582176315678</v>
      </c>
    </row>
    <row r="77" spans="2:19" ht="11.25" customHeight="1">
      <c r="B77" s="639">
        <v>45647</v>
      </c>
      <c r="C77" s="1046" t="s">
        <v>894</v>
      </c>
      <c r="D77" s="1002"/>
      <c r="E77" s="998">
        <v>49</v>
      </c>
      <c r="F77" s="640" t="s">
        <v>107</v>
      </c>
      <c r="G77" s="640"/>
      <c r="H77" s="640"/>
      <c r="I77" s="640"/>
      <c r="J77" s="640"/>
      <c r="K77" s="999">
        <v>5145.1900000000005</v>
      </c>
      <c r="L77" s="612">
        <f>'통장내역(환율표)'!$D$238</f>
        <v>7.2637000065386541</v>
      </c>
      <c r="M77" s="1062">
        <f t="shared" si="5"/>
        <v>708.34285493183802</v>
      </c>
      <c r="N77" s="1009">
        <f t="shared" si="9"/>
        <v>225796.34000000014</v>
      </c>
      <c r="O77" s="1009">
        <f t="shared" si="10"/>
        <v>31089.240383636821</v>
      </c>
      <c r="P77" s="992" t="s">
        <v>1080</v>
      </c>
      <c r="Q77" s="713"/>
      <c r="R77" s="713" t="s">
        <v>211</v>
      </c>
      <c r="S77" s="1055">
        <f t="shared" si="11"/>
        <v>31089.23932138384</v>
      </c>
    </row>
    <row r="78" spans="2:19" ht="11.25" customHeight="1">
      <c r="B78" s="639">
        <v>45647</v>
      </c>
      <c r="C78" s="1046" t="s">
        <v>895</v>
      </c>
      <c r="D78" s="1002"/>
      <c r="E78" s="998">
        <v>49</v>
      </c>
      <c r="F78" s="640" t="s">
        <v>107</v>
      </c>
      <c r="G78" s="640"/>
      <c r="H78" s="640"/>
      <c r="I78" s="640"/>
      <c r="J78" s="640"/>
      <c r="K78" s="999">
        <v>8342</v>
      </c>
      <c r="L78" s="612">
        <f>'통장내역(환율표)'!$D$238</f>
        <v>7.2637000065386541</v>
      </c>
      <c r="M78" s="1062">
        <f t="shared" si="5"/>
        <v>1148.4505131669368</v>
      </c>
      <c r="N78" s="1009">
        <f t="shared" si="9"/>
        <v>217454.34000000014</v>
      </c>
      <c r="O78" s="1009">
        <f t="shared" si="10"/>
        <v>29940.789870469885</v>
      </c>
      <c r="P78" s="992" t="s">
        <v>1080</v>
      </c>
      <c r="Q78" s="713"/>
      <c r="R78" s="713" t="s">
        <v>211</v>
      </c>
      <c r="S78" s="1055">
        <f t="shared" si="11"/>
        <v>29940.788808216905</v>
      </c>
    </row>
    <row r="79" spans="2:19" ht="11.25" customHeight="1">
      <c r="B79" s="639">
        <v>45647</v>
      </c>
      <c r="C79" s="1046" t="s">
        <v>899</v>
      </c>
      <c r="D79" s="1002"/>
      <c r="E79" s="998">
        <v>49</v>
      </c>
      <c r="F79" s="640" t="s">
        <v>107</v>
      </c>
      <c r="G79" s="640"/>
      <c r="H79" s="640"/>
      <c r="I79" s="640"/>
      <c r="J79" s="640"/>
      <c r="K79" s="999">
        <v>300</v>
      </c>
      <c r="L79" s="612">
        <f>'통장내역(환율표)'!$D$238</f>
        <v>7.2637000065386541</v>
      </c>
      <c r="M79" s="1062">
        <f t="shared" si="5"/>
        <v>41.301265158245151</v>
      </c>
      <c r="N79" s="1009">
        <f t="shared" si="9"/>
        <v>217154.34000000014</v>
      </c>
      <c r="O79" s="1009">
        <f t="shared" si="10"/>
        <v>29899.488605311639</v>
      </c>
      <c r="P79" s="992" t="s">
        <v>1080</v>
      </c>
      <c r="Q79" s="713"/>
      <c r="R79" s="713" t="s">
        <v>211</v>
      </c>
      <c r="S79" s="1055">
        <f t="shared" si="11"/>
        <v>29899.487543058658</v>
      </c>
    </row>
    <row r="80" spans="2:19" ht="11.25" customHeight="1">
      <c r="B80" s="639">
        <v>45647</v>
      </c>
      <c r="C80" s="1046" t="s">
        <v>892</v>
      </c>
      <c r="D80" s="1002"/>
      <c r="E80" s="998">
        <v>49</v>
      </c>
      <c r="F80" s="640" t="s">
        <v>107</v>
      </c>
      <c r="G80" s="640"/>
      <c r="H80" s="640"/>
      <c r="I80" s="640"/>
      <c r="J80" s="640"/>
      <c r="K80" s="999">
        <v>15000</v>
      </c>
      <c r="L80" s="612">
        <f>'통장내역(환율표)'!$D$238</f>
        <v>7.2637000065386541</v>
      </c>
      <c r="M80" s="1062">
        <f t="shared" si="5"/>
        <v>2065.0632579122575</v>
      </c>
      <c r="N80" s="1009">
        <f t="shared" si="9"/>
        <v>202154.34000000014</v>
      </c>
      <c r="O80" s="1009">
        <f t="shared" si="10"/>
        <v>27834.425347399381</v>
      </c>
      <c r="P80" s="992" t="s">
        <v>1080</v>
      </c>
      <c r="Q80" s="713"/>
      <c r="R80" s="713" t="s">
        <v>188</v>
      </c>
      <c r="S80" s="1055">
        <f t="shared" si="11"/>
        <v>27834.424285146401</v>
      </c>
    </row>
    <row r="81" spans="2:19" ht="11.25" customHeight="1">
      <c r="B81" s="639">
        <v>45647</v>
      </c>
      <c r="C81" s="1046" t="s">
        <v>947</v>
      </c>
      <c r="D81" s="1002"/>
      <c r="E81" s="998">
        <v>49</v>
      </c>
      <c r="F81" s="640" t="s">
        <v>107</v>
      </c>
      <c r="G81" s="640"/>
      <c r="H81" s="640"/>
      <c r="I81" s="640"/>
      <c r="J81" s="640"/>
      <c r="K81" s="999">
        <v>22000</v>
      </c>
      <c r="L81" s="612">
        <f>'통장내역(환율표)'!$D$238</f>
        <v>7.2637000065386541</v>
      </c>
      <c r="M81" s="1062">
        <f t="shared" si="5"/>
        <v>3028.7594449379781</v>
      </c>
      <c r="N81" s="1009">
        <f t="shared" si="9"/>
        <v>180154.34000000014</v>
      </c>
      <c r="O81" s="1009">
        <f t="shared" si="10"/>
        <v>24805.665902461402</v>
      </c>
      <c r="P81" s="992" t="s">
        <v>1080</v>
      </c>
      <c r="Q81" s="713"/>
      <c r="R81" s="713" t="s">
        <v>188</v>
      </c>
      <c r="S81" s="1055">
        <f t="shared" si="11"/>
        <v>24805.664840208421</v>
      </c>
    </row>
    <row r="82" spans="2:19" ht="11.25" customHeight="1">
      <c r="B82" s="639">
        <v>45647</v>
      </c>
      <c r="C82" s="1046" t="s">
        <v>894</v>
      </c>
      <c r="D82" s="1002"/>
      <c r="E82" s="998">
        <v>49</v>
      </c>
      <c r="F82" s="640" t="s">
        <v>107</v>
      </c>
      <c r="G82" s="640"/>
      <c r="H82" s="640"/>
      <c r="I82" s="640"/>
      <c r="J82" s="640"/>
      <c r="K82" s="999">
        <v>8576.1899999999987</v>
      </c>
      <c r="L82" s="612">
        <f>'통장내역(환율표)'!$D$238</f>
        <v>7.2637000065386541</v>
      </c>
      <c r="M82" s="1062">
        <f t="shared" si="5"/>
        <v>1180.6916574583015</v>
      </c>
      <c r="N82" s="1009">
        <f t="shared" si="9"/>
        <v>171578.15000000014</v>
      </c>
      <c r="O82" s="1009">
        <f t="shared" si="10"/>
        <v>23624.974245003101</v>
      </c>
      <c r="P82" s="992" t="s">
        <v>1080</v>
      </c>
      <c r="Q82" s="713"/>
      <c r="R82" s="713" t="s">
        <v>188</v>
      </c>
      <c r="S82" s="1055">
        <f t="shared" si="11"/>
        <v>23624.97318275012</v>
      </c>
    </row>
    <row r="83" spans="2:19" ht="11.25" customHeight="1">
      <c r="B83" s="639">
        <v>45647</v>
      </c>
      <c r="C83" s="1046" t="s">
        <v>895</v>
      </c>
      <c r="D83" s="1002"/>
      <c r="E83" s="998">
        <v>49</v>
      </c>
      <c r="F83" s="640" t="s">
        <v>107</v>
      </c>
      <c r="G83" s="640"/>
      <c r="H83" s="640"/>
      <c r="I83" s="640"/>
      <c r="J83" s="640"/>
      <c r="K83" s="999">
        <v>7167.5</v>
      </c>
      <c r="L83" s="612">
        <f>'통장내역(환율표)'!$D$238</f>
        <v>7.2637000065386541</v>
      </c>
      <c r="M83" s="1062">
        <f t="shared" si="5"/>
        <v>986.75606007240708</v>
      </c>
      <c r="N83" s="1009">
        <f t="shared" si="9"/>
        <v>164410.65000000014</v>
      </c>
      <c r="O83" s="1009">
        <f t="shared" si="10"/>
        <v>22638.218184930694</v>
      </c>
      <c r="P83" s="992" t="s">
        <v>1080</v>
      </c>
      <c r="Q83" s="713"/>
      <c r="R83" s="713" t="s">
        <v>188</v>
      </c>
      <c r="S83" s="1055">
        <f t="shared" si="11"/>
        <v>22638.217122677714</v>
      </c>
    </row>
    <row r="84" spans="2:19" ht="11.25" customHeight="1">
      <c r="B84" s="639">
        <v>45647</v>
      </c>
      <c r="C84" s="1046" t="s">
        <v>899</v>
      </c>
      <c r="D84" s="1002"/>
      <c r="E84" s="998">
        <v>49</v>
      </c>
      <c r="F84" s="640" t="s">
        <v>107</v>
      </c>
      <c r="G84" s="640"/>
      <c r="H84" s="640"/>
      <c r="I84" s="640"/>
      <c r="J84" s="640"/>
      <c r="K84" s="999">
        <v>300</v>
      </c>
      <c r="L84" s="612">
        <f>'통장내역(환율표)'!$D$238</f>
        <v>7.2637000065386541</v>
      </c>
      <c r="M84" s="1062">
        <f t="shared" si="5"/>
        <v>41.301265158245151</v>
      </c>
      <c r="N84" s="1009">
        <f t="shared" si="9"/>
        <v>164110.65000000014</v>
      </c>
      <c r="O84" s="1009">
        <f t="shared" si="10"/>
        <v>22596.916919772448</v>
      </c>
      <c r="P84" s="992" t="s">
        <v>1080</v>
      </c>
      <c r="Q84" s="713"/>
      <c r="R84" s="713" t="s">
        <v>188</v>
      </c>
      <c r="S84" s="1055">
        <f t="shared" si="11"/>
        <v>22596.915857519467</v>
      </c>
    </row>
    <row r="85" spans="2:19" ht="11.25" customHeight="1">
      <c r="B85" s="639">
        <v>45647</v>
      </c>
      <c r="C85" s="1046" t="s">
        <v>898</v>
      </c>
      <c r="D85" s="1002"/>
      <c r="E85" s="998">
        <v>49</v>
      </c>
      <c r="F85" s="640" t="s">
        <v>107</v>
      </c>
      <c r="G85" s="640"/>
      <c r="H85" s="640"/>
      <c r="I85" s="640"/>
      <c r="J85" s="640"/>
      <c r="K85" s="999">
        <v>25750</v>
      </c>
      <c r="L85" s="612">
        <f>'통장내역(환율표)'!$D$238</f>
        <v>7.2637000065386541</v>
      </c>
      <c r="M85" s="1062">
        <f t="shared" si="5"/>
        <v>3545.0252594160424</v>
      </c>
      <c r="N85" s="1009">
        <f t="shared" si="9"/>
        <v>138360.65000000014</v>
      </c>
      <c r="O85" s="1009">
        <f t="shared" si="10"/>
        <v>19051.891660356407</v>
      </c>
      <c r="P85" s="992" t="s">
        <v>1080</v>
      </c>
      <c r="Q85" s="713"/>
      <c r="R85" s="713" t="s">
        <v>995</v>
      </c>
      <c r="S85" s="1055">
        <f t="shared" si="11"/>
        <v>19051.890598103426</v>
      </c>
    </row>
    <row r="86" spans="2:19" ht="11.25" customHeight="1">
      <c r="B86" s="639">
        <v>45647</v>
      </c>
      <c r="C86" s="1046" t="s">
        <v>948</v>
      </c>
      <c r="D86" s="1002"/>
      <c r="E86" s="998">
        <v>49</v>
      </c>
      <c r="F86" s="640" t="s">
        <v>107</v>
      </c>
      <c r="G86" s="640"/>
      <c r="H86" s="640"/>
      <c r="I86" s="640"/>
      <c r="J86" s="640"/>
      <c r="K86" s="999">
        <v>7173.94</v>
      </c>
      <c r="L86" s="612">
        <f>'통장내역(환율표)'!$D$238</f>
        <v>7.2637000065386541</v>
      </c>
      <c r="M86" s="1062">
        <f t="shared" si="5"/>
        <v>987.6426605644707</v>
      </c>
      <c r="N86" s="1009">
        <f t="shared" si="9"/>
        <v>131186.71000000014</v>
      </c>
      <c r="O86" s="1009">
        <f t="shared" si="10"/>
        <v>18064.248999791937</v>
      </c>
      <c r="P86" s="992" t="s">
        <v>1080</v>
      </c>
      <c r="Q86" s="713"/>
      <c r="R86" s="713" t="s">
        <v>995</v>
      </c>
      <c r="S86" s="1055">
        <f t="shared" si="11"/>
        <v>18064.247937538956</v>
      </c>
    </row>
    <row r="87" spans="2:19" ht="11.25" customHeight="1">
      <c r="B87" s="639">
        <v>45647</v>
      </c>
      <c r="C87" s="1046" t="s">
        <v>899</v>
      </c>
      <c r="D87" s="1002"/>
      <c r="E87" s="998">
        <v>49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'통장내역(환율표)'!$D$238</f>
        <v>7.2637000065386541</v>
      </c>
      <c r="M87" s="1062">
        <f t="shared" si="5"/>
        <v>41.301265158245151</v>
      </c>
      <c r="N87" s="1009">
        <f t="shared" si="9"/>
        <v>130886.71000000014</v>
      </c>
      <c r="O87" s="1009">
        <f t="shared" si="10"/>
        <v>18022.94773463369</v>
      </c>
      <c r="P87" s="992" t="s">
        <v>1080</v>
      </c>
      <c r="Q87" s="713"/>
      <c r="R87" s="713" t="s">
        <v>995</v>
      </c>
      <c r="S87" s="1055">
        <f t="shared" si="11"/>
        <v>18022.946672380709</v>
      </c>
    </row>
    <row r="88" spans="2:19" ht="11.25" customHeight="1">
      <c r="B88" s="639">
        <v>45647</v>
      </c>
      <c r="C88" s="1046" t="s">
        <v>992</v>
      </c>
      <c r="D88" s="1002"/>
      <c r="E88" s="998">
        <v>49</v>
      </c>
      <c r="F88" s="640" t="s">
        <v>107</v>
      </c>
      <c r="G88" s="640"/>
      <c r="H88" s="640"/>
      <c r="I88" s="640"/>
      <c r="J88" s="640"/>
      <c r="K88" s="999">
        <v>400</v>
      </c>
      <c r="L88" s="612">
        <f>'통장내역(환율표)'!$D$238</f>
        <v>7.2637000065386541</v>
      </c>
      <c r="M88" s="1062">
        <f t="shared" si="5"/>
        <v>55.068353544326868</v>
      </c>
      <c r="N88" s="1009">
        <f t="shared" si="9"/>
        <v>130486.71000000014</v>
      </c>
      <c r="O88" s="1009">
        <f t="shared" si="10"/>
        <v>17967.879381089362</v>
      </c>
      <c r="P88" s="992" t="s">
        <v>1080</v>
      </c>
      <c r="Q88" s="713"/>
      <c r="R88" s="713" t="s">
        <v>995</v>
      </c>
      <c r="S88" s="1055">
        <f t="shared" si="11"/>
        <v>17967.878318836381</v>
      </c>
    </row>
    <row r="89" spans="2:19" ht="11.25" customHeight="1">
      <c r="B89" s="639">
        <v>45647</v>
      </c>
      <c r="C89" s="1046" t="s">
        <v>898</v>
      </c>
      <c r="D89" s="1002"/>
      <c r="E89" s="998">
        <v>49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'통장내역(환율표)'!$D$238</f>
        <v>7.2637000065386541</v>
      </c>
      <c r="M89" s="1062">
        <f t="shared" si="5"/>
        <v>1843.4131348963419</v>
      </c>
      <c r="N89" s="1009">
        <f t="shared" si="9"/>
        <v>117096.71000000014</v>
      </c>
      <c r="O89" s="1009">
        <f t="shared" si="10"/>
        <v>16124.46624619302</v>
      </c>
      <c r="P89" s="992" t="s">
        <v>1080</v>
      </c>
      <c r="Q89" s="713"/>
      <c r="R89" s="1032" t="s">
        <v>1405</v>
      </c>
      <c r="S89" s="1055">
        <f t="shared" si="11"/>
        <v>16124.465183940039</v>
      </c>
    </row>
    <row r="90" spans="2:19" ht="11.25" customHeight="1">
      <c r="B90" s="639">
        <v>45647</v>
      </c>
      <c r="C90" s="1046" t="s">
        <v>948</v>
      </c>
      <c r="D90" s="1002"/>
      <c r="E90" s="998">
        <v>49</v>
      </c>
      <c r="F90" s="640" t="s">
        <v>107</v>
      </c>
      <c r="G90" s="640"/>
      <c r="H90" s="640"/>
      <c r="I90" s="640"/>
      <c r="J90" s="640"/>
      <c r="K90" s="999">
        <v>3147.67</v>
      </c>
      <c r="L90" s="612">
        <f>'통장내역(환율표)'!$D$238</f>
        <v>7.2637000065386541</v>
      </c>
      <c r="M90" s="1062">
        <f t="shared" si="5"/>
        <v>433.34251100217841</v>
      </c>
      <c r="N90" s="1009">
        <f t="shared" si="9"/>
        <v>113949.04000000014</v>
      </c>
      <c r="O90" s="1009">
        <f t="shared" si="10"/>
        <v>15691.123735190842</v>
      </c>
      <c r="P90" s="992" t="s">
        <v>1080</v>
      </c>
      <c r="Q90" s="713"/>
      <c r="R90" s="1032" t="s">
        <v>1405</v>
      </c>
      <c r="S90" s="1055">
        <f t="shared" si="11"/>
        <v>15691.122672937861</v>
      </c>
    </row>
    <row r="91" spans="2:19" ht="11.25" customHeight="1">
      <c r="B91" s="639">
        <v>45647</v>
      </c>
      <c r="C91" s="1046" t="s">
        <v>899</v>
      </c>
      <c r="D91" s="1002"/>
      <c r="E91" s="998">
        <v>49</v>
      </c>
      <c r="F91" s="640" t="s">
        <v>107</v>
      </c>
      <c r="G91" s="640"/>
      <c r="H91" s="640"/>
      <c r="I91" s="640"/>
      <c r="J91" s="640"/>
      <c r="K91" s="999">
        <v>300</v>
      </c>
      <c r="L91" s="612">
        <f>'통장내역(환율표)'!$D$238</f>
        <v>7.2637000065386541</v>
      </c>
      <c r="M91" s="1062">
        <f t="shared" si="5"/>
        <v>41.301265158245151</v>
      </c>
      <c r="N91" s="1009">
        <f t="shared" si="9"/>
        <v>113649.04000000014</v>
      </c>
      <c r="O91" s="1009">
        <f t="shared" si="10"/>
        <v>15649.822470032597</v>
      </c>
      <c r="P91" s="992" t="s">
        <v>1080</v>
      </c>
      <c r="Q91" s="713"/>
      <c r="R91" s="1032" t="s">
        <v>1405</v>
      </c>
      <c r="S91" s="1055">
        <f t="shared" si="11"/>
        <v>15649.821407779616</v>
      </c>
    </row>
    <row r="92" spans="2:19" ht="11.25" customHeight="1">
      <c r="B92" s="639">
        <v>45647</v>
      </c>
      <c r="C92" s="1046" t="s">
        <v>992</v>
      </c>
      <c r="D92" s="1002"/>
      <c r="E92" s="998">
        <v>49</v>
      </c>
      <c r="F92" s="640" t="s">
        <v>107</v>
      </c>
      <c r="G92" s="640"/>
      <c r="H92" s="640"/>
      <c r="I92" s="640"/>
      <c r="J92" s="640"/>
      <c r="K92" s="999">
        <v>2100</v>
      </c>
      <c r="L92" s="612">
        <f>'통장내역(환율표)'!$D$238</f>
        <v>7.2637000065386541</v>
      </c>
      <c r="M92" s="1062">
        <f t="shared" si="5"/>
        <v>289.10885610771606</v>
      </c>
      <c r="N92" s="1009">
        <f t="shared" si="9"/>
        <v>111549.04000000014</v>
      </c>
      <c r="O92" s="1009">
        <f t="shared" si="10"/>
        <v>15360.713613924881</v>
      </c>
      <c r="P92" s="992" t="s">
        <v>1080</v>
      </c>
      <c r="Q92" s="713"/>
      <c r="R92" s="1032" t="s">
        <v>1405</v>
      </c>
      <c r="S92" s="1055">
        <f t="shared" si="11"/>
        <v>15360.712551671901</v>
      </c>
    </row>
    <row r="93" spans="2:19" ht="11.25" customHeight="1">
      <c r="B93" s="639">
        <v>45647</v>
      </c>
      <c r="C93" s="1046" t="s">
        <v>898</v>
      </c>
      <c r="D93" s="1002"/>
      <c r="E93" s="998">
        <v>49</v>
      </c>
      <c r="F93" s="640" t="s">
        <v>107</v>
      </c>
      <c r="G93" s="640"/>
      <c r="H93" s="640"/>
      <c r="I93" s="640"/>
      <c r="J93" s="640"/>
      <c r="K93" s="999">
        <v>25750</v>
      </c>
      <c r="L93" s="612">
        <f>'통장내역(환율표)'!$D$238</f>
        <v>7.2637000065386541</v>
      </c>
      <c r="M93" s="1062">
        <f t="shared" si="5"/>
        <v>3545.0252594160424</v>
      </c>
      <c r="N93" s="1009">
        <f t="shared" si="9"/>
        <v>85799.040000000139</v>
      </c>
      <c r="O93" s="1009">
        <f t="shared" si="10"/>
        <v>11815.688354508839</v>
      </c>
      <c r="P93" s="992" t="s">
        <v>1080</v>
      </c>
      <c r="Q93" s="713"/>
      <c r="R93" s="713" t="s">
        <v>1406</v>
      </c>
      <c r="S93" s="1055">
        <f t="shared" si="11"/>
        <v>11815.687292255858</v>
      </c>
    </row>
    <row r="94" spans="2:19" ht="11.25" customHeight="1">
      <c r="B94" s="639">
        <v>45647</v>
      </c>
      <c r="C94" s="1046" t="s">
        <v>948</v>
      </c>
      <c r="D94" s="1002"/>
      <c r="E94" s="998">
        <v>49</v>
      </c>
      <c r="F94" s="640" t="s">
        <v>107</v>
      </c>
      <c r="G94" s="640"/>
      <c r="H94" s="640"/>
      <c r="I94" s="640"/>
      <c r="J94" s="640"/>
      <c r="K94" s="999">
        <v>7173.94</v>
      </c>
      <c r="L94" s="612">
        <f>'통장내역(환율표)'!$D$238</f>
        <v>7.2637000065386541</v>
      </c>
      <c r="M94" s="1062">
        <f>K94/L94</f>
        <v>987.6426605644707</v>
      </c>
      <c r="N94" s="1009">
        <f t="shared" si="9"/>
        <v>78625.100000000137</v>
      </c>
      <c r="O94" s="1009">
        <f t="shared" si="10"/>
        <v>10828.045693944368</v>
      </c>
      <c r="P94" s="992" t="s">
        <v>1080</v>
      </c>
      <c r="Q94" s="713"/>
      <c r="R94" s="713" t="s">
        <v>1406</v>
      </c>
      <c r="S94" s="1055">
        <f t="shared" si="11"/>
        <v>10828.044631691388</v>
      </c>
    </row>
    <row r="95" spans="2:19" ht="11.25" customHeight="1">
      <c r="B95" s="639">
        <v>45647</v>
      </c>
      <c r="C95" s="1046" t="s">
        <v>899</v>
      </c>
      <c r="D95" s="1002"/>
      <c r="E95" s="998">
        <v>49</v>
      </c>
      <c r="F95" s="640" t="s">
        <v>107</v>
      </c>
      <c r="G95" s="640"/>
      <c r="H95" s="640"/>
      <c r="I95" s="640"/>
      <c r="J95" s="640"/>
      <c r="K95" s="999">
        <v>300</v>
      </c>
      <c r="L95" s="612">
        <f>'통장내역(환율표)'!$D$238</f>
        <v>7.2637000065386541</v>
      </c>
      <c r="M95" s="1062">
        <f>K95/L95</f>
        <v>41.301265158245151</v>
      </c>
      <c r="N95" s="1009">
        <f t="shared" si="9"/>
        <v>78325.100000000137</v>
      </c>
      <c r="O95" s="1009">
        <f t="shared" si="10"/>
        <v>10786.744428786124</v>
      </c>
      <c r="P95" s="992" t="s">
        <v>1080</v>
      </c>
      <c r="Q95" s="713"/>
      <c r="R95" s="713" t="s">
        <v>1406</v>
      </c>
      <c r="S95" s="1055">
        <f t="shared" si="11"/>
        <v>10786.743366533143</v>
      </c>
    </row>
    <row r="96" spans="2:19" ht="11.25" customHeight="1">
      <c r="B96" s="639">
        <v>45647</v>
      </c>
      <c r="C96" s="1046" t="s">
        <v>445</v>
      </c>
      <c r="D96" s="1002"/>
      <c r="E96" s="998">
        <v>50</v>
      </c>
      <c r="F96" s="640" t="s">
        <v>107</v>
      </c>
      <c r="G96" s="640"/>
      <c r="H96" s="640"/>
      <c r="I96" s="640"/>
      <c r="J96" s="640"/>
      <c r="K96" s="999">
        <v>12</v>
      </c>
      <c r="L96" s="612">
        <f>'통장내역(환율표)'!$D$238</f>
        <v>7.2637000065386541</v>
      </c>
      <c r="M96" s="1062">
        <f>K96/L96</f>
        <v>1.6520506063298062</v>
      </c>
      <c r="N96" s="993">
        <f t="shared" si="9"/>
        <v>78313.100000000137</v>
      </c>
      <c r="O96" s="993">
        <f t="shared" si="10"/>
        <v>10785.092378179794</v>
      </c>
      <c r="P96" s="992" t="s">
        <v>1080</v>
      </c>
      <c r="Q96" s="713"/>
      <c r="R96" s="713"/>
      <c r="S96" s="1055">
        <f t="shared" si="11"/>
        <v>10785.091315926813</v>
      </c>
    </row>
    <row r="97" spans="19:19" ht="11.25" customHeight="1">
      <c r="S97" s="1055"/>
    </row>
  </sheetData>
  <autoFilter ref="B18:R96" xr:uid="{00000000-0009-0000-0000-000001000000}">
    <filterColumn colId="14" showButton="0"/>
    <sortState xmlns:xlrd2="http://schemas.microsoft.com/office/spreadsheetml/2017/richdata2" ref="B20:R21">
      <sortCondition sortBy="cellColor" ref="M18:M20" dxfId="7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F2E-853E-4D2B-A1F9-1A26974AA6FD}">
  <sheetPr>
    <tabColor rgb="FFFFC000"/>
  </sheetPr>
  <dimension ref="A1:AC105"/>
  <sheetViews>
    <sheetView showGridLines="0" zoomScaleNormal="100" workbookViewId="0">
      <pane ySplit="19" topLeftCell="A101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1081" customWidth="1"/>
    <col min="4" max="4" width="9.75" style="1081" customWidth="1"/>
    <col min="5" max="5" width="12.125" style="1081" customWidth="1"/>
    <col min="6" max="6" width="11.125" style="1081" customWidth="1"/>
    <col min="7" max="7" width="9.875" style="559" customWidth="1"/>
    <col min="8" max="8" width="9.75" style="1081" customWidth="1"/>
    <col min="9" max="9" width="9.875" style="1081" customWidth="1"/>
    <col min="10" max="10" width="10.5" style="559" customWidth="1"/>
    <col min="11" max="11" width="11" style="559" customWidth="1"/>
    <col min="12" max="12" width="11.125" style="1081" customWidth="1"/>
    <col min="13" max="13" width="9.75" style="1081" customWidth="1"/>
    <col min="14" max="14" width="12.375" style="1081" customWidth="1"/>
    <col min="15" max="15" width="9.875" style="1081" customWidth="1"/>
    <col min="16" max="16" width="10.75" style="1081" customWidth="1"/>
    <col min="17" max="17" width="9.625" style="1081" customWidth="1"/>
    <col min="18" max="18" width="31.5" style="559" customWidth="1"/>
    <col min="19" max="19" width="10.5" style="562" bestFit="1" customWidth="1"/>
    <col min="20" max="20" width="9" style="1081"/>
    <col min="21" max="21" width="9" style="1082"/>
    <col min="22" max="16384" width="9" style="1081"/>
  </cols>
  <sheetData>
    <row r="1" spans="1:29" ht="4.5" customHeight="1">
      <c r="A1" s="1070"/>
      <c r="B1" s="1071"/>
      <c r="C1" s="1072"/>
      <c r="D1" s="1072"/>
      <c r="E1" s="1073"/>
      <c r="F1" s="1073"/>
      <c r="G1" s="1074"/>
      <c r="H1" s="1073"/>
      <c r="I1" s="1073"/>
      <c r="J1" s="1075"/>
      <c r="K1" s="1075"/>
      <c r="L1" s="1076"/>
      <c r="M1" s="1077"/>
      <c r="N1" s="1077"/>
      <c r="O1" s="1072"/>
      <c r="P1" s="1078"/>
      <c r="Q1" s="1078"/>
      <c r="R1" s="1079"/>
      <c r="S1" s="1080"/>
    </row>
    <row r="2" spans="1:29" s="531" customFormat="1" ht="15" customHeight="1">
      <c r="A2" s="1083"/>
      <c r="B2" s="1084" t="s">
        <v>1428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  <c r="R2" s="559"/>
      <c r="S2" s="562"/>
      <c r="T2" s="1081"/>
      <c r="U2" s="1082"/>
      <c r="V2" s="1081"/>
      <c r="W2" s="1081"/>
      <c r="X2" s="1081"/>
    </row>
    <row r="3" spans="1:29" s="553" customFormat="1" ht="11.25" customHeight="1">
      <c r="A3" s="545"/>
      <c r="B3" s="546" t="s">
        <v>1409</v>
      </c>
      <c r="C3" s="547"/>
      <c r="D3" s="547"/>
      <c r="E3" s="547"/>
      <c r="F3" s="1064">
        <v>1433.2</v>
      </c>
      <c r="G3" s="550"/>
      <c r="H3" s="546" t="s">
        <v>1423</v>
      </c>
      <c r="I3" s="547"/>
      <c r="K3" s="548"/>
      <c r="L3" s="1064">
        <v>1458.2</v>
      </c>
      <c r="N3" s="546" t="s">
        <v>1438</v>
      </c>
      <c r="O3" s="547"/>
      <c r="Q3" s="548"/>
      <c r="R3" s="1064">
        <v>1434.3</v>
      </c>
      <c r="T3" s="546"/>
      <c r="U3" s="547"/>
      <c r="V3" s="548"/>
      <c r="W3" s="548"/>
      <c r="X3" s="790">
        <v>1327.2</v>
      </c>
    </row>
    <row r="4" spans="1:29" ht="11.25" customHeight="1">
      <c r="A4" s="1070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31"/>
      <c r="U4" s="531"/>
      <c r="V4" s="531"/>
      <c r="W4" s="531"/>
      <c r="X4" s="531"/>
      <c r="Y4" s="531"/>
      <c r="Z4" s="531"/>
      <c r="AA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30124.080000000002</v>
      </c>
      <c r="K5" s="766">
        <v>4115.82</v>
      </c>
      <c r="L5" s="723">
        <f t="shared" ref="L5:L12" si="1">ROUND(K5*$L$3,0)</f>
        <v>6001689</v>
      </c>
      <c r="M5" s="970">
        <f>L5+F5</f>
        <v>6001689</v>
      </c>
      <c r="N5" s="569" t="s">
        <v>11</v>
      </c>
      <c r="O5" s="569" t="s">
        <v>12</v>
      </c>
      <c r="P5" s="766"/>
      <c r="Q5" s="766"/>
      <c r="R5" s="723">
        <f t="shared" ref="R5:R12" si="2">ROUND(Q5*$R$3,0)</f>
        <v>0</v>
      </c>
      <c r="S5" s="1117">
        <f>F5+L5+R5</f>
        <v>6001689</v>
      </c>
      <c r="T5" s="531"/>
      <c r="U5" s="531"/>
      <c r="V5" s="531"/>
      <c r="W5" s="531"/>
      <c r="X5" s="531"/>
      <c r="Y5" s="531"/>
      <c r="Z5" s="531"/>
      <c r="AA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220.27</v>
      </c>
      <c r="F6" s="567">
        <f t="shared" si="0"/>
        <v>315691</v>
      </c>
      <c r="G6" s="572"/>
      <c r="H6" s="569" t="s">
        <v>13</v>
      </c>
      <c r="I6" s="569" t="s">
        <v>14</v>
      </c>
      <c r="J6" s="766">
        <v>23408.080000000002</v>
      </c>
      <c r="K6" s="766">
        <v>3198.22</v>
      </c>
      <c r="L6" s="723">
        <f t="shared" si="1"/>
        <v>4663644</v>
      </c>
      <c r="M6" s="970">
        <f t="shared" ref="M6:M13" si="3">L6+F6</f>
        <v>4979335</v>
      </c>
      <c r="N6" s="569" t="s">
        <v>13</v>
      </c>
      <c r="O6" s="569" t="s">
        <v>14</v>
      </c>
      <c r="P6" s="766"/>
      <c r="Q6" s="766"/>
      <c r="R6" s="723">
        <f t="shared" si="2"/>
        <v>0</v>
      </c>
      <c r="S6" s="1117">
        <f t="shared" ref="S6:S13" si="4">F6+L6+R6</f>
        <v>4979335</v>
      </c>
      <c r="T6" s="531"/>
      <c r="U6" s="531"/>
      <c r="V6" s="531"/>
      <c r="W6" s="531"/>
      <c r="X6" s="531"/>
      <c r="Y6" s="531"/>
      <c r="Z6" s="531"/>
      <c r="AA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24455</v>
      </c>
      <c r="E7" s="570">
        <v>3366.74</v>
      </c>
      <c r="F7" s="567">
        <f t="shared" si="0"/>
        <v>4825212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3"/>
        <v>4825212</v>
      </c>
      <c r="N7" s="569" t="s">
        <v>15</v>
      </c>
      <c r="O7" s="569" t="s">
        <v>1064</v>
      </c>
      <c r="P7" s="767"/>
      <c r="Q7" s="767"/>
      <c r="R7" s="723">
        <f t="shared" si="2"/>
        <v>0</v>
      </c>
      <c r="S7" s="1117">
        <f t="shared" si="4"/>
        <v>4825212</v>
      </c>
      <c r="T7" s="531"/>
      <c r="U7" s="531"/>
      <c r="V7" s="531"/>
      <c r="W7" s="531"/>
      <c r="X7" s="531"/>
      <c r="Y7" s="531"/>
      <c r="Z7" s="531"/>
      <c r="AA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8307.64</v>
      </c>
      <c r="E8" s="570">
        <v>1143.72</v>
      </c>
      <c r="F8" s="567">
        <f t="shared" si="0"/>
        <v>1639180</v>
      </c>
      <c r="G8" s="573"/>
      <c r="H8" s="569" t="s">
        <v>15</v>
      </c>
      <c r="I8" s="564" t="s">
        <v>17</v>
      </c>
      <c r="J8" s="767">
        <v>9192.36</v>
      </c>
      <c r="K8" s="767">
        <v>1255.94</v>
      </c>
      <c r="L8" s="723">
        <f t="shared" si="1"/>
        <v>1831412</v>
      </c>
      <c r="M8" s="970">
        <f t="shared" si="3"/>
        <v>3470592</v>
      </c>
      <c r="N8" s="569" t="s">
        <v>15</v>
      </c>
      <c r="O8" s="564" t="s">
        <v>17</v>
      </c>
      <c r="P8" s="767"/>
      <c r="Q8" s="767"/>
      <c r="R8" s="723">
        <f t="shared" si="2"/>
        <v>0</v>
      </c>
      <c r="S8" s="1117">
        <f t="shared" si="4"/>
        <v>3470592</v>
      </c>
      <c r="T8" s="531"/>
      <c r="U8" s="531"/>
      <c r="V8" s="531"/>
      <c r="W8" s="531"/>
      <c r="X8" s="531"/>
      <c r="Y8" s="531"/>
      <c r="Z8" s="531"/>
      <c r="AA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1412.84</v>
      </c>
      <c r="K9" s="766">
        <v>193.03</v>
      </c>
      <c r="L9" s="723">
        <f t="shared" si="1"/>
        <v>281476</v>
      </c>
      <c r="M9" s="970">
        <f t="shared" si="3"/>
        <v>281476</v>
      </c>
      <c r="N9" s="569" t="s">
        <v>19</v>
      </c>
      <c r="O9" s="564" t="s">
        <v>20</v>
      </c>
      <c r="P9" s="766"/>
      <c r="Q9" s="766"/>
      <c r="R9" s="723">
        <f t="shared" si="2"/>
        <v>0</v>
      </c>
      <c r="S9" s="1117">
        <f t="shared" si="4"/>
        <v>281476</v>
      </c>
      <c r="T9" s="531"/>
      <c r="U9" s="531"/>
      <c r="V9" s="531"/>
      <c r="W9" s="531"/>
      <c r="X9" s="531"/>
      <c r="Y9" s="531"/>
      <c r="Z9" s="531"/>
      <c r="AA9" s="531"/>
    </row>
    <row r="10" spans="1:29" ht="11.25" customHeight="1">
      <c r="A10" s="562">
        <v>51321010</v>
      </c>
      <c r="B10" s="563" t="s">
        <v>21</v>
      </c>
      <c r="C10" s="564"/>
      <c r="D10" s="570">
        <v>43977.029999999992</v>
      </c>
      <c r="E10" s="570">
        <v>6054.36</v>
      </c>
      <c r="F10" s="567">
        <f t="shared" si="0"/>
        <v>8677109</v>
      </c>
      <c r="G10" s="575"/>
      <c r="H10" s="569" t="s">
        <v>21</v>
      </c>
      <c r="I10" s="569"/>
      <c r="J10" s="766">
        <v>331930.53999999998</v>
      </c>
      <c r="K10" s="766">
        <v>45402.28</v>
      </c>
      <c r="L10" s="723">
        <f t="shared" si="1"/>
        <v>66205605</v>
      </c>
      <c r="M10" s="970">
        <f t="shared" si="3"/>
        <v>74882714</v>
      </c>
      <c r="N10" s="569" t="s">
        <v>21</v>
      </c>
      <c r="O10" s="569"/>
      <c r="P10" s="766"/>
      <c r="Q10" s="766"/>
      <c r="R10" s="723">
        <f t="shared" si="2"/>
        <v>0</v>
      </c>
      <c r="S10" s="1117">
        <f t="shared" si="4"/>
        <v>74882714</v>
      </c>
      <c r="T10" s="531"/>
      <c r="U10" s="531"/>
      <c r="V10" s="531"/>
      <c r="W10" s="531"/>
      <c r="X10" s="531"/>
      <c r="Y10" s="531"/>
      <c r="Z10" s="531"/>
      <c r="AA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1433.2037715239408</v>
      </c>
      <c r="H11" s="577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3"/>
        <v>0</v>
      </c>
      <c r="N11" s="577" t="s">
        <v>1066</v>
      </c>
      <c r="O11" s="577" t="s">
        <v>1294</v>
      </c>
      <c r="P11" s="581"/>
      <c r="Q11" s="935">
        <v>36</v>
      </c>
      <c r="R11" s="934">
        <f t="shared" si="2"/>
        <v>51635</v>
      </c>
      <c r="S11" s="1117">
        <f t="shared" si="4"/>
        <v>51635</v>
      </c>
      <c r="T11" s="531"/>
      <c r="U11" s="531"/>
      <c r="V11" s="531"/>
      <c r="W11" s="531"/>
      <c r="X11" s="531"/>
      <c r="Y11" s="531"/>
      <c r="Z11" s="531"/>
      <c r="AA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10821.09</v>
      </c>
      <c r="H12" s="569" t="s">
        <v>1068</v>
      </c>
      <c r="I12" s="569" t="s">
        <v>1069</v>
      </c>
      <c r="J12" s="565"/>
      <c r="K12" s="570"/>
      <c r="L12" s="723">
        <f t="shared" si="1"/>
        <v>0</v>
      </c>
      <c r="M12" s="970">
        <f t="shared" si="3"/>
        <v>0</v>
      </c>
      <c r="N12" s="569" t="s">
        <v>1068</v>
      </c>
      <c r="O12" s="569" t="s">
        <v>1069</v>
      </c>
      <c r="P12" s="565"/>
      <c r="Q12" s="570"/>
      <c r="R12" s="723">
        <f t="shared" si="2"/>
        <v>0</v>
      </c>
      <c r="S12" s="1117">
        <f t="shared" si="4"/>
        <v>0</v>
      </c>
      <c r="T12" s="531"/>
      <c r="U12" s="531"/>
      <c r="V12" s="531"/>
      <c r="W12" s="531"/>
      <c r="X12" s="531"/>
      <c r="Y12" s="531"/>
      <c r="Z12" s="531"/>
      <c r="AA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78339.669999999984</v>
      </c>
      <c r="E13" s="585">
        <f>SUM(E5:E11)-E12</f>
        <v>10785.09</v>
      </c>
      <c r="F13" s="950">
        <f>SUM(F5:F11)-F12</f>
        <v>15457192</v>
      </c>
      <c r="G13" s="588">
        <f>F13+R13+AC13</f>
        <v>15508827</v>
      </c>
      <c r="H13" s="948" t="s">
        <v>22</v>
      </c>
      <c r="I13" s="949"/>
      <c r="J13" s="585">
        <f>SUM(J5:J11)-J12</f>
        <v>396067.89999999997</v>
      </c>
      <c r="K13" s="585">
        <f>SUM(K5:K11)-K12</f>
        <v>54165.29</v>
      </c>
      <c r="L13" s="950">
        <f>SUM(L5:L11)-L12</f>
        <v>78983826</v>
      </c>
      <c r="M13" s="970">
        <f t="shared" si="3"/>
        <v>94441018</v>
      </c>
      <c r="N13" s="948" t="s">
        <v>22</v>
      </c>
      <c r="O13" s="949"/>
      <c r="P13" s="585">
        <f>SUM(P5:P11)-P12</f>
        <v>0</v>
      </c>
      <c r="Q13" s="585">
        <f>SUM(Q5:Q11)-Q12</f>
        <v>36</v>
      </c>
      <c r="R13" s="950">
        <f>SUM(R5:R11)-R12</f>
        <v>51635</v>
      </c>
      <c r="S13" s="1117">
        <f t="shared" si="4"/>
        <v>94492653</v>
      </c>
      <c r="U13" s="930"/>
      <c r="X13" s="924">
        <f>F13+R13</f>
        <v>15508827</v>
      </c>
      <c r="Y13" s="956"/>
      <c r="Z13" s="971"/>
      <c r="AB13" s="596"/>
    </row>
    <row r="14" spans="1:29" ht="14.25" customHeight="1">
      <c r="A14" s="1070"/>
      <c r="C14" s="590"/>
      <c r="D14" s="816">
        <f>SUM(D7:D10)</f>
        <v>76739.669999999984</v>
      </c>
      <c r="E14" s="816">
        <f>SUM(E7:E10)</f>
        <v>10564.82</v>
      </c>
      <c r="F14" s="816">
        <f>SUM(F7:F10)</f>
        <v>15141501</v>
      </c>
      <c r="G14" s="594"/>
      <c r="J14" s="1010">
        <f>J13+D13+P13</f>
        <v>474407.56999999995</v>
      </c>
      <c r="K14" s="1010">
        <f>K13+E13+Q13</f>
        <v>64986.380000000005</v>
      </c>
      <c r="L14" s="985">
        <f>L13+F13+R13</f>
        <v>94492653</v>
      </c>
      <c r="M14" s="945">
        <f>M16-E12</f>
        <v>64950.381673459982</v>
      </c>
      <c r="O14" s="595"/>
      <c r="P14" s="924">
        <f>P13+D13+J13</f>
        <v>474407.56999999995</v>
      </c>
      <c r="Q14" s="924">
        <f>Q13+E13+K13</f>
        <v>64986.380000000005</v>
      </c>
      <c r="R14" s="925">
        <f>R13+F13+L13</f>
        <v>94492653</v>
      </c>
      <c r="X14" s="595"/>
      <c r="Y14" s="595"/>
      <c r="AB14" s="595"/>
      <c r="AC14" s="559"/>
    </row>
    <row r="15" spans="1:29" ht="14.25" customHeight="1">
      <c r="A15" s="1070"/>
      <c r="C15" s="590"/>
      <c r="D15" s="816"/>
      <c r="E15" s="816"/>
      <c r="F15" s="816"/>
      <c r="G15" s="594"/>
      <c r="K15" s="945">
        <f>K16-H85</f>
        <v>474407.57</v>
      </c>
      <c r="L15" s="945"/>
      <c r="M15" s="945">
        <f>M16-J85</f>
        <v>64950.381673459982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 thickBot="1">
      <c r="A16" s="1070"/>
      <c r="C16" s="590"/>
      <c r="D16" s="590"/>
      <c r="E16" s="593"/>
      <c r="F16" s="593"/>
      <c r="G16" s="594"/>
      <c r="I16" s="595"/>
      <c r="J16" s="596"/>
      <c r="K16" s="1089">
        <f>SUBTOTAL(9,K19:K103)</f>
        <v>474407.57</v>
      </c>
      <c r="L16" s="1090"/>
      <c r="M16" s="1089">
        <f>SUBTOTAL(9,M19:M103)</f>
        <v>64950.381673459982</v>
      </c>
      <c r="N16" s="595"/>
      <c r="Q16" s="595"/>
    </row>
    <row r="17" spans="1:29" ht="11.25" customHeight="1">
      <c r="A17" s="1070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0" t="s">
        <v>29</v>
      </c>
      <c r="I17" s="1521"/>
      <c r="J17" s="1521"/>
      <c r="K17" s="1520" t="s">
        <v>30</v>
      </c>
      <c r="L17" s="1521"/>
      <c r="M17" s="1522"/>
      <c r="N17" s="1523" t="s">
        <v>31</v>
      </c>
      <c r="O17" s="1524"/>
      <c r="P17" s="1525"/>
      <c r="Q17" s="1525"/>
      <c r="R17" s="603" t="s">
        <v>1071</v>
      </c>
    </row>
    <row r="18" spans="1:29" ht="11.25" customHeight="1">
      <c r="A18" s="1070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29" t="s">
        <v>32</v>
      </c>
      <c r="Q18" s="1529"/>
      <c r="R18" s="986" t="s">
        <v>1071</v>
      </c>
    </row>
    <row r="19" spans="1:29" ht="11.25" customHeight="1">
      <c r="B19" s="1033">
        <v>45657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78313.100000000137</v>
      </c>
      <c r="O19" s="1042">
        <v>10785.092378179794</v>
      </c>
      <c r="P19" s="1043"/>
      <c r="Q19" s="1035"/>
      <c r="R19" s="1044"/>
      <c r="S19" s="926">
        <v>10785.091315926813</v>
      </c>
    </row>
    <row r="20" spans="1:29" s="1082" customFormat="1" ht="12" customHeight="1">
      <c r="A20" s="614"/>
      <c r="B20" s="639">
        <v>45667</v>
      </c>
      <c r="C20" s="997" t="s">
        <v>1425</v>
      </c>
      <c r="D20" s="1065"/>
      <c r="E20" s="1066">
        <v>1</v>
      </c>
      <c r="F20" s="1066" t="s">
        <v>107</v>
      </c>
      <c r="G20" s="640"/>
      <c r="H20" s="1067"/>
      <c r="I20" s="1049"/>
      <c r="J20" s="1067"/>
      <c r="K20" s="999">
        <v>42812.63</v>
      </c>
      <c r="L20" s="612">
        <f>'통장내역(환율표)'!$D$238</f>
        <v>7.2637000065386541</v>
      </c>
      <c r="M20" s="990">
        <f>K20/L20</f>
        <v>5894.0526125061369</v>
      </c>
      <c r="N20" s="1009">
        <f t="shared" ref="N20:N51" si="5">N19+H20-K20</f>
        <v>35500.470000000139</v>
      </c>
      <c r="O20" s="1009">
        <f t="shared" ref="O20:O51" si="6">O19+J20-M20</f>
        <v>4891.0397656736568</v>
      </c>
      <c r="P20" s="992" t="s">
        <v>1407</v>
      </c>
      <c r="Q20" s="713"/>
      <c r="R20" s="713"/>
      <c r="S20" s="963">
        <f>S19-M20</f>
        <v>4891.038703420676</v>
      </c>
      <c r="T20" s="1081"/>
      <c r="V20" s="1081"/>
      <c r="W20" s="1081"/>
      <c r="X20" s="1081"/>
      <c r="Y20" s="1081"/>
      <c r="Z20" s="1081"/>
      <c r="AA20" s="1081"/>
      <c r="AB20" s="1081"/>
      <c r="AC20" s="1081"/>
    </row>
    <row r="21" spans="1:29" s="1082" customFormat="1" ht="12" customHeight="1">
      <c r="A21" s="614"/>
      <c r="B21" s="1095">
        <v>45670</v>
      </c>
      <c r="C21" s="1096" t="s">
        <v>823</v>
      </c>
      <c r="D21" s="1097"/>
      <c r="E21" s="1098">
        <v>2</v>
      </c>
      <c r="F21" s="1098"/>
      <c r="G21" s="1099"/>
      <c r="H21" s="1100">
        <v>473948.32</v>
      </c>
      <c r="I21" s="1101"/>
      <c r="J21" s="1100">
        <v>64806</v>
      </c>
      <c r="K21" s="1102"/>
      <c r="L21" s="1103"/>
      <c r="M21" s="1062"/>
      <c r="N21" s="1062">
        <f t="shared" si="5"/>
        <v>509448.79000000015</v>
      </c>
      <c r="O21" s="1062">
        <f t="shared" si="6"/>
        <v>69697.03976567366</v>
      </c>
      <c r="P21" s="1104"/>
      <c r="Q21" s="1105"/>
      <c r="R21" s="1105"/>
      <c r="S21" s="963"/>
      <c r="T21" s="1081"/>
      <c r="V21" s="1081"/>
      <c r="W21" s="1081"/>
      <c r="X21" s="1081"/>
      <c r="Y21" s="1081"/>
      <c r="Z21" s="1081"/>
      <c r="AA21" s="1081"/>
      <c r="AB21" s="1081"/>
      <c r="AC21" s="1081"/>
    </row>
    <row r="22" spans="1:29" s="1082" customFormat="1" ht="12" customHeight="1">
      <c r="A22" s="614"/>
      <c r="B22" s="1095">
        <v>45670</v>
      </c>
      <c r="C22" s="1096" t="s">
        <v>250</v>
      </c>
      <c r="D22" s="1097"/>
      <c r="E22" s="1098">
        <v>2</v>
      </c>
      <c r="F22" s="1106" t="s">
        <v>107</v>
      </c>
      <c r="G22" s="1099"/>
      <c r="H22" s="1100"/>
      <c r="I22" s="1101"/>
      <c r="J22" s="1100"/>
      <c r="K22" s="1102"/>
      <c r="L22" s="1103"/>
      <c r="M22" s="1062">
        <v>51</v>
      </c>
      <c r="N22" s="1062">
        <f t="shared" si="5"/>
        <v>509448.79000000015</v>
      </c>
      <c r="O22" s="1062">
        <f t="shared" si="6"/>
        <v>69646.03976567366</v>
      </c>
      <c r="P22" s="1104"/>
      <c r="Q22" s="1105"/>
      <c r="R22" s="1105"/>
      <c r="S22" s="963"/>
      <c r="T22" s="1081"/>
      <c r="V22" s="1081"/>
      <c r="W22" s="1081"/>
      <c r="X22" s="1081"/>
      <c r="Y22" s="1081"/>
      <c r="Z22" s="1081"/>
      <c r="AA22" s="1081"/>
      <c r="AB22" s="1081"/>
      <c r="AC22" s="1081"/>
    </row>
    <row r="23" spans="1:29" s="559" customFormat="1" ht="11.25" customHeight="1">
      <c r="A23" s="614"/>
      <c r="B23" s="639">
        <v>45672</v>
      </c>
      <c r="C23" s="997" t="s">
        <v>1426</v>
      </c>
      <c r="D23" s="1065"/>
      <c r="E23" s="1068">
        <v>3</v>
      </c>
      <c r="F23" s="1066" t="s">
        <v>107</v>
      </c>
      <c r="G23" s="640"/>
      <c r="H23" s="1067"/>
      <c r="I23" s="1049"/>
      <c r="J23" s="1067"/>
      <c r="K23" s="999">
        <v>140</v>
      </c>
      <c r="L23" s="612">
        <f>'통장내역(환율표)'!$D$238</f>
        <v>7.2637000065386541</v>
      </c>
      <c r="M23" s="990">
        <f t="shared" ref="M23:M29" si="7">K23/L23</f>
        <v>19.273923740514405</v>
      </c>
      <c r="N23" s="1009">
        <f t="shared" si="5"/>
        <v>509308.79000000015</v>
      </c>
      <c r="O23" s="1009">
        <f t="shared" si="6"/>
        <v>69626.765841933142</v>
      </c>
      <c r="P23" s="992" t="s">
        <v>1407</v>
      </c>
      <c r="Q23" s="713"/>
      <c r="R23" s="713"/>
      <c r="S23" s="963">
        <f>S20-M23</f>
        <v>4871.7647796801621</v>
      </c>
      <c r="T23" s="1081"/>
      <c r="U23" s="1082"/>
      <c r="V23" s="1081"/>
      <c r="W23" s="1081"/>
      <c r="X23" s="1081"/>
      <c r="Y23" s="1081"/>
      <c r="Z23" s="1081"/>
      <c r="AA23" s="1081"/>
      <c r="AB23" s="1081"/>
      <c r="AC23" s="1081"/>
    </row>
    <row r="24" spans="1:29" s="559" customFormat="1" ht="11.25" customHeight="1">
      <c r="A24" s="614"/>
      <c r="B24" s="639">
        <v>45672</v>
      </c>
      <c r="C24" s="997" t="s">
        <v>1375</v>
      </c>
      <c r="D24" s="1065"/>
      <c r="E24" s="1068">
        <v>4</v>
      </c>
      <c r="F24" s="1066" t="s">
        <v>105</v>
      </c>
      <c r="G24" s="640" t="s">
        <v>76</v>
      </c>
      <c r="H24" s="1067"/>
      <c r="I24" s="1049"/>
      <c r="J24" s="1067"/>
      <c r="K24" s="999">
        <v>24455</v>
      </c>
      <c r="L24" s="612">
        <f>'통장내역(환율표)'!$D$238</f>
        <v>7.2637000065386541</v>
      </c>
      <c r="M24" s="990">
        <f t="shared" si="7"/>
        <v>3366.741464816284</v>
      </c>
      <c r="N24" s="1009">
        <f t="shared" si="5"/>
        <v>484853.79000000015</v>
      </c>
      <c r="O24" s="1009">
        <f t="shared" si="6"/>
        <v>66260.024377116861</v>
      </c>
      <c r="P24" s="992" t="s">
        <v>1407</v>
      </c>
      <c r="Q24" s="713"/>
      <c r="R24" s="713"/>
      <c r="S24" s="963">
        <f t="shared" ref="S24:S30" si="8">S23-M24</f>
        <v>1505.0233148638781</v>
      </c>
      <c r="T24" s="1081"/>
      <c r="U24" s="1082"/>
      <c r="V24" s="1081"/>
      <c r="W24" s="1081"/>
      <c r="X24" s="1081"/>
      <c r="Y24" s="1081"/>
      <c r="Z24" s="1081"/>
      <c r="AA24" s="1081"/>
      <c r="AB24" s="1081"/>
      <c r="AC24" s="1081"/>
    </row>
    <row r="25" spans="1:29" s="559" customFormat="1" ht="11.25" customHeight="1">
      <c r="A25" s="614"/>
      <c r="B25" s="639">
        <v>45672</v>
      </c>
      <c r="C25" s="997" t="s">
        <v>250</v>
      </c>
      <c r="D25" s="1065"/>
      <c r="E25" s="1068">
        <v>5</v>
      </c>
      <c r="F25" s="1066" t="s">
        <v>107</v>
      </c>
      <c r="G25" s="640"/>
      <c r="H25" s="1004"/>
      <c r="I25" s="1069"/>
      <c r="J25" s="1069"/>
      <c r="K25" s="999">
        <v>7.2</v>
      </c>
      <c r="L25" s="612">
        <f>'통장내역(환율표)'!$D$238</f>
        <v>7.2637000065386541</v>
      </c>
      <c r="M25" s="990">
        <f t="shared" si="7"/>
        <v>0.99123036379788365</v>
      </c>
      <c r="N25" s="1009">
        <f t="shared" si="5"/>
        <v>484846.59000000014</v>
      </c>
      <c r="O25" s="1009">
        <f t="shared" si="6"/>
        <v>66259.033146753063</v>
      </c>
      <c r="P25" s="992" t="s">
        <v>1407</v>
      </c>
      <c r="Q25" s="713"/>
      <c r="R25" s="713"/>
      <c r="S25" s="963">
        <f t="shared" si="8"/>
        <v>1504.0320845000801</v>
      </c>
      <c r="T25" s="1081"/>
      <c r="U25" s="1082"/>
      <c r="V25" s="1081"/>
      <c r="W25" s="1081"/>
      <c r="X25" s="1081"/>
      <c r="Y25" s="1081"/>
      <c r="Z25" s="1081"/>
      <c r="AA25" s="1081"/>
      <c r="AB25" s="1081"/>
      <c r="AC25" s="1081"/>
    </row>
    <row r="26" spans="1:29" s="559" customFormat="1" ht="11.25" customHeight="1">
      <c r="A26" s="614"/>
      <c r="B26" s="639">
        <v>45672</v>
      </c>
      <c r="C26" s="997" t="s">
        <v>1291</v>
      </c>
      <c r="D26" s="1065"/>
      <c r="E26" s="1068">
        <v>6</v>
      </c>
      <c r="F26" s="1068" t="s">
        <v>146</v>
      </c>
      <c r="G26" s="640" t="s">
        <v>147</v>
      </c>
      <c r="H26" s="1004"/>
      <c r="I26" s="1003"/>
      <c r="J26" s="1003"/>
      <c r="K26" s="999">
        <v>1600</v>
      </c>
      <c r="L26" s="612">
        <f>'통장내역(환율표)'!$D$238</f>
        <v>7.2637000065386541</v>
      </c>
      <c r="M26" s="990">
        <f t="shared" si="7"/>
        <v>220.27341417730747</v>
      </c>
      <c r="N26" s="1009">
        <f t="shared" si="5"/>
        <v>483246.59000000014</v>
      </c>
      <c r="O26" s="1009">
        <f t="shared" si="6"/>
        <v>66038.759732575752</v>
      </c>
      <c r="P26" s="992" t="s">
        <v>1407</v>
      </c>
      <c r="Q26" s="713"/>
      <c r="R26" s="713"/>
      <c r="S26" s="963">
        <f t="shared" si="8"/>
        <v>1283.7586703227726</v>
      </c>
      <c r="T26" s="1081"/>
      <c r="U26" s="1082"/>
      <c r="V26" s="1081"/>
      <c r="W26" s="1081"/>
      <c r="X26" s="1081"/>
      <c r="Y26" s="1081"/>
      <c r="Z26" s="1081"/>
      <c r="AA26" s="1081"/>
      <c r="AB26" s="1081"/>
      <c r="AC26" s="1081"/>
    </row>
    <row r="27" spans="1:29" s="559" customFormat="1" ht="11.25" customHeight="1">
      <c r="A27" s="614"/>
      <c r="B27" s="639">
        <v>45672</v>
      </c>
      <c r="C27" s="997" t="s">
        <v>250</v>
      </c>
      <c r="D27" s="1065"/>
      <c r="E27" s="1068">
        <v>7</v>
      </c>
      <c r="F27" s="1068" t="s">
        <v>107</v>
      </c>
      <c r="G27" s="640"/>
      <c r="H27" s="1004"/>
      <c r="I27" s="1003"/>
      <c r="J27" s="1003"/>
      <c r="K27" s="999">
        <v>3.6</v>
      </c>
      <c r="L27" s="612">
        <f>'통장내역(환율표)'!$D$238</f>
        <v>7.2637000065386541</v>
      </c>
      <c r="M27" s="990">
        <f t="shared" si="7"/>
        <v>0.49561518189894183</v>
      </c>
      <c r="N27" s="1009">
        <f t="shared" si="5"/>
        <v>483242.99000000017</v>
      </c>
      <c r="O27" s="1009">
        <f t="shared" si="6"/>
        <v>66038.264117393846</v>
      </c>
      <c r="P27" s="992" t="s">
        <v>1407</v>
      </c>
      <c r="Q27" s="713"/>
      <c r="R27" s="713"/>
      <c r="S27" s="963">
        <f t="shared" si="8"/>
        <v>1283.2630551408736</v>
      </c>
      <c r="T27" s="1081"/>
      <c r="U27" s="1082"/>
      <c r="V27" s="1081"/>
      <c r="W27" s="1081"/>
      <c r="X27" s="1081"/>
      <c r="Y27" s="1081"/>
      <c r="Z27" s="1081"/>
      <c r="AA27" s="1081"/>
      <c r="AB27" s="1081"/>
      <c r="AC27" s="1081"/>
    </row>
    <row r="28" spans="1:29" s="559" customFormat="1" ht="11.25" customHeight="1">
      <c r="A28" s="614"/>
      <c r="B28" s="639">
        <v>45674</v>
      </c>
      <c r="C28" s="997" t="s">
        <v>242</v>
      </c>
      <c r="D28" s="1065"/>
      <c r="E28" s="1068">
        <v>8</v>
      </c>
      <c r="F28" s="1068" t="s">
        <v>107</v>
      </c>
      <c r="G28" s="640"/>
      <c r="H28" s="1004"/>
      <c r="I28" s="1003"/>
      <c r="J28" s="1003"/>
      <c r="K28" s="999">
        <v>1010</v>
      </c>
      <c r="L28" s="612">
        <f>'통장내역(환율표)'!$D$238</f>
        <v>7.2637000065386541</v>
      </c>
      <c r="M28" s="990">
        <f t="shared" si="7"/>
        <v>139.04759269942534</v>
      </c>
      <c r="N28" s="1009">
        <f t="shared" si="5"/>
        <v>482232.99000000017</v>
      </c>
      <c r="O28" s="1009">
        <f t="shared" si="6"/>
        <v>65899.216524694421</v>
      </c>
      <c r="P28" s="992" t="s">
        <v>1407</v>
      </c>
      <c r="Q28" s="713"/>
      <c r="R28" s="713"/>
      <c r="S28" s="963">
        <f t="shared" si="8"/>
        <v>1144.2154624414482</v>
      </c>
      <c r="T28" s="1081"/>
      <c r="U28" s="1082"/>
      <c r="V28" s="1081"/>
      <c r="W28" s="1081"/>
      <c r="X28" s="1081"/>
      <c r="Y28" s="1081"/>
      <c r="Z28" s="1081"/>
      <c r="AA28" s="1081"/>
      <c r="AB28" s="1081"/>
      <c r="AC28" s="1081"/>
    </row>
    <row r="29" spans="1:29" s="559" customFormat="1" ht="11.25" customHeight="1">
      <c r="A29" s="614"/>
      <c r="B29" s="639">
        <v>45674</v>
      </c>
      <c r="C29" s="997" t="s">
        <v>250</v>
      </c>
      <c r="D29" s="1065"/>
      <c r="E29" s="1068">
        <v>9</v>
      </c>
      <c r="F29" s="1068" t="s">
        <v>107</v>
      </c>
      <c r="G29" s="640"/>
      <c r="H29" s="1004"/>
      <c r="I29" s="1003"/>
      <c r="J29" s="1003"/>
      <c r="K29" s="999">
        <v>3.6</v>
      </c>
      <c r="L29" s="612">
        <f>'통장내역(환율표)'!$D$238</f>
        <v>7.2637000065386541</v>
      </c>
      <c r="M29" s="990">
        <f t="shared" si="7"/>
        <v>0.49561518189894183</v>
      </c>
      <c r="N29" s="1009">
        <f t="shared" si="5"/>
        <v>482229.39000000019</v>
      </c>
      <c r="O29" s="1009">
        <f t="shared" si="6"/>
        <v>65898.720909512514</v>
      </c>
      <c r="P29" s="992" t="s">
        <v>1407</v>
      </c>
      <c r="Q29" s="713"/>
      <c r="R29" s="713"/>
      <c r="S29" s="963">
        <f t="shared" si="8"/>
        <v>1143.7198472595492</v>
      </c>
      <c r="T29" s="1081"/>
      <c r="U29" s="1082"/>
      <c r="V29" s="1081"/>
      <c r="W29" s="1081"/>
      <c r="X29" s="1081"/>
      <c r="Y29" s="1081"/>
      <c r="Z29" s="1081"/>
      <c r="AA29" s="1081"/>
      <c r="AB29" s="1081"/>
      <c r="AC29" s="1081"/>
    </row>
    <row r="30" spans="1:29" s="559" customFormat="1" ht="11.25" customHeight="1">
      <c r="A30" s="614"/>
      <c r="B30" s="821">
        <v>45674</v>
      </c>
      <c r="C30" s="1014" t="s">
        <v>305</v>
      </c>
      <c r="D30" s="1091"/>
      <c r="E30" s="1092">
        <v>10</v>
      </c>
      <c r="F30" s="1092" t="s">
        <v>105</v>
      </c>
      <c r="G30" s="824" t="s">
        <v>227</v>
      </c>
      <c r="H30" s="1093"/>
      <c r="I30" s="1094"/>
      <c r="J30" s="1094"/>
      <c r="K30" s="1019">
        <f>L30*M30</f>
        <v>8307.6378620175765</v>
      </c>
      <c r="L30" s="828">
        <f>'통장내역(환율표)'!$D$238</f>
        <v>7.2637000065386541</v>
      </c>
      <c r="M30" s="990">
        <v>1143.7198472595492</v>
      </c>
      <c r="N30" s="1020">
        <f t="shared" si="5"/>
        <v>473921.75213798264</v>
      </c>
      <c r="O30" s="1020">
        <f t="shared" si="6"/>
        <v>64755.001062252966</v>
      </c>
      <c r="P30" s="1021" t="s">
        <v>1407</v>
      </c>
      <c r="Q30" s="1022"/>
      <c r="R30" s="1022"/>
      <c r="S30" s="963">
        <f t="shared" si="8"/>
        <v>0</v>
      </c>
      <c r="T30" s="1081"/>
      <c r="U30" s="1082"/>
      <c r="V30" s="1081"/>
      <c r="W30" s="1081"/>
      <c r="X30" s="1081"/>
      <c r="Y30" s="1081"/>
      <c r="Z30" s="1081"/>
      <c r="AA30" s="1081"/>
      <c r="AB30" s="1081"/>
      <c r="AC30" s="1081"/>
    </row>
    <row r="31" spans="1:29" s="559" customFormat="1" ht="11.25" customHeight="1">
      <c r="A31" s="614"/>
      <c r="B31" s="821">
        <v>45674</v>
      </c>
      <c r="C31" s="1014" t="s">
        <v>305</v>
      </c>
      <c r="D31" s="1091"/>
      <c r="E31" s="1092">
        <v>10</v>
      </c>
      <c r="F31" s="1092" t="s">
        <v>105</v>
      </c>
      <c r="G31" s="824" t="s">
        <v>227</v>
      </c>
      <c r="H31" s="1093"/>
      <c r="I31" s="1094"/>
      <c r="J31" s="1094"/>
      <c r="K31" s="1019">
        <f>10500-K30</f>
        <v>2192.3621379824235</v>
      </c>
      <c r="L31" s="828">
        <f>'통장내역(환율표)'!$D$246</f>
        <v>7.3190999922785887</v>
      </c>
      <c r="M31" s="1062">
        <f t="shared" ref="M31:M62" si="9">K31/L31</f>
        <v>299.53985330099249</v>
      </c>
      <c r="N31" s="1020">
        <f t="shared" si="5"/>
        <v>471729.39000000019</v>
      </c>
      <c r="O31" s="1020">
        <f t="shared" si="6"/>
        <v>64455.461208951972</v>
      </c>
      <c r="P31" s="1021" t="s">
        <v>1129</v>
      </c>
      <c r="Q31" s="1022"/>
      <c r="R31" s="1022"/>
      <c r="S31" s="963">
        <f>64755-M31</f>
        <v>64455.460146699006</v>
      </c>
      <c r="T31" s="1081"/>
      <c r="U31" s="1082"/>
      <c r="V31" s="1081"/>
      <c r="W31" s="1081"/>
      <c r="X31" s="1081"/>
      <c r="Y31" s="1081"/>
      <c r="Z31" s="1081"/>
      <c r="AA31" s="1081"/>
      <c r="AB31" s="1081"/>
      <c r="AC31" s="1081"/>
    </row>
    <row r="32" spans="1:29" s="559" customFormat="1" ht="11.25" customHeight="1">
      <c r="A32" s="614"/>
      <c r="B32" s="639">
        <v>45674</v>
      </c>
      <c r="C32" s="997" t="s">
        <v>1116</v>
      </c>
      <c r="D32" s="1065"/>
      <c r="E32" s="1068">
        <v>10</v>
      </c>
      <c r="F32" s="1068" t="s">
        <v>107</v>
      </c>
      <c r="G32" s="640"/>
      <c r="H32" s="1004"/>
      <c r="I32" s="1003"/>
      <c r="J32" s="1003"/>
      <c r="K32" s="999">
        <v>6000</v>
      </c>
      <c r="L32" s="612">
        <f>'통장내역(환율표)'!$D$246</f>
        <v>7.3190999922785887</v>
      </c>
      <c r="M32" s="1062">
        <f t="shared" si="9"/>
        <v>819.77292376519028</v>
      </c>
      <c r="N32" s="1009">
        <f t="shared" si="5"/>
        <v>465729.39000000019</v>
      </c>
      <c r="O32" s="1009">
        <f t="shared" si="6"/>
        <v>63635.688285186785</v>
      </c>
      <c r="P32" s="992" t="s">
        <v>1129</v>
      </c>
      <c r="Q32" s="713"/>
      <c r="R32" s="713"/>
      <c r="S32" s="963">
        <f>S31-M32</f>
        <v>63635.687222933819</v>
      </c>
      <c r="T32" s="1081"/>
      <c r="U32" s="1082"/>
      <c r="V32" s="1081"/>
      <c r="W32" s="1081"/>
      <c r="X32" s="1081"/>
      <c r="Y32" s="1081"/>
      <c r="Z32" s="1081"/>
      <c r="AA32" s="1081"/>
      <c r="AB32" s="1081"/>
      <c r="AC32" s="1081"/>
    </row>
    <row r="33" spans="1:29" s="559" customFormat="1" ht="11.25" customHeight="1">
      <c r="A33" s="614"/>
      <c r="B33" s="639">
        <v>45674</v>
      </c>
      <c r="C33" s="997" t="s">
        <v>1117</v>
      </c>
      <c r="D33" s="1065"/>
      <c r="E33" s="1068">
        <v>10</v>
      </c>
      <c r="F33" s="1068" t="s">
        <v>107</v>
      </c>
      <c r="G33" s="640"/>
      <c r="H33" s="1004"/>
      <c r="I33" s="1003"/>
      <c r="J33" s="1003"/>
      <c r="K33" s="999">
        <v>610</v>
      </c>
      <c r="L33" s="612">
        <f>'통장내역(환율표)'!$D$246</f>
        <v>7.3190999922785887</v>
      </c>
      <c r="M33" s="1062">
        <f t="shared" si="9"/>
        <v>83.343580582794345</v>
      </c>
      <c r="N33" s="1009">
        <f t="shared" si="5"/>
        <v>465119.39000000019</v>
      </c>
      <c r="O33" s="1009">
        <f t="shared" si="6"/>
        <v>63552.344704603987</v>
      </c>
      <c r="P33" s="992" t="s">
        <v>1129</v>
      </c>
      <c r="Q33" s="713"/>
      <c r="R33" s="713"/>
      <c r="S33" s="963">
        <f t="shared" ref="S33:S96" si="10">S32-M33</f>
        <v>63552.343642351021</v>
      </c>
      <c r="T33" s="1081"/>
      <c r="U33" s="1082"/>
      <c r="V33" s="1081"/>
      <c r="W33" s="1081"/>
      <c r="X33" s="1081"/>
      <c r="Y33" s="1081"/>
      <c r="Z33" s="1081"/>
      <c r="AA33" s="1081"/>
      <c r="AB33" s="1081"/>
      <c r="AC33" s="1081"/>
    </row>
    <row r="34" spans="1:29" s="559" customFormat="1" ht="11.25" customHeight="1">
      <c r="A34" s="614"/>
      <c r="B34" s="639">
        <v>45674</v>
      </c>
      <c r="C34" s="997" t="s">
        <v>305</v>
      </c>
      <c r="D34" s="1065"/>
      <c r="E34" s="1068">
        <v>10</v>
      </c>
      <c r="F34" s="1068" t="s">
        <v>105</v>
      </c>
      <c r="G34" s="640" t="s">
        <v>227</v>
      </c>
      <c r="H34" s="1004"/>
      <c r="I34" s="1003"/>
      <c r="J34" s="1003"/>
      <c r="K34" s="999">
        <v>7000</v>
      </c>
      <c r="L34" s="612">
        <f>'통장내역(환율표)'!$D$246</f>
        <v>7.3190999922785887</v>
      </c>
      <c r="M34" s="1062">
        <f t="shared" si="9"/>
        <v>956.40174439272198</v>
      </c>
      <c r="N34" s="1009">
        <f t="shared" si="5"/>
        <v>458119.39000000019</v>
      </c>
      <c r="O34" s="1009">
        <f t="shared" si="6"/>
        <v>62595.942960211265</v>
      </c>
      <c r="P34" s="992" t="s">
        <v>1129</v>
      </c>
      <c r="Q34" s="713"/>
      <c r="R34" s="713"/>
      <c r="S34" s="963">
        <f t="shared" si="10"/>
        <v>62595.941897958299</v>
      </c>
      <c r="T34" s="1081"/>
      <c r="U34" s="1082"/>
      <c r="V34" s="1081"/>
      <c r="W34" s="1081"/>
      <c r="X34" s="1081"/>
      <c r="Y34" s="1081"/>
      <c r="Z34" s="1081"/>
      <c r="AA34" s="1081"/>
      <c r="AB34" s="1081"/>
      <c r="AC34" s="1081"/>
    </row>
    <row r="35" spans="1:29" s="559" customFormat="1" ht="11.25" customHeight="1">
      <c r="A35" s="614"/>
      <c r="B35" s="639">
        <v>45674</v>
      </c>
      <c r="C35" s="997" t="s">
        <v>1116</v>
      </c>
      <c r="D35" s="1065"/>
      <c r="E35" s="1068">
        <v>10</v>
      </c>
      <c r="F35" s="1068" t="s">
        <v>107</v>
      </c>
      <c r="G35" s="640"/>
      <c r="H35" s="1004"/>
      <c r="I35" s="1003"/>
      <c r="J35" s="1003"/>
      <c r="K35" s="999">
        <v>6000</v>
      </c>
      <c r="L35" s="612">
        <f>'통장내역(환율표)'!$D$246</f>
        <v>7.3190999922785887</v>
      </c>
      <c r="M35" s="1062">
        <f t="shared" si="9"/>
        <v>819.77292376519028</v>
      </c>
      <c r="N35" s="1009">
        <f t="shared" si="5"/>
        <v>452119.39000000019</v>
      </c>
      <c r="O35" s="1009">
        <f t="shared" si="6"/>
        <v>61776.170036446078</v>
      </c>
      <c r="P35" s="992" t="s">
        <v>1129</v>
      </c>
      <c r="Q35" s="713"/>
      <c r="R35" s="713"/>
      <c r="S35" s="963">
        <f t="shared" si="10"/>
        <v>61776.168974193111</v>
      </c>
      <c r="T35" s="1081"/>
      <c r="U35" s="1082"/>
      <c r="V35" s="1081"/>
      <c r="W35" s="1081"/>
      <c r="X35" s="1081"/>
      <c r="Y35" s="1081"/>
      <c r="Z35" s="1081"/>
      <c r="AA35" s="1081"/>
      <c r="AB35" s="1081"/>
      <c r="AC35" s="1081"/>
    </row>
    <row r="36" spans="1:29" s="559" customFormat="1" ht="11.25" customHeight="1">
      <c r="A36" s="614"/>
      <c r="B36" s="639">
        <v>45674</v>
      </c>
      <c r="C36" s="997" t="s">
        <v>1117</v>
      </c>
      <c r="D36" s="1065"/>
      <c r="E36" s="1068">
        <v>10</v>
      </c>
      <c r="F36" s="1068" t="s">
        <v>107</v>
      </c>
      <c r="G36" s="640"/>
      <c r="H36" s="1004"/>
      <c r="I36" s="1003"/>
      <c r="J36" s="1003"/>
      <c r="K36" s="999">
        <v>510</v>
      </c>
      <c r="L36" s="612">
        <f>'통장내역(환율표)'!$D$246</f>
        <v>7.3190999922785887</v>
      </c>
      <c r="M36" s="1062">
        <f t="shared" si="9"/>
        <v>69.680698520041176</v>
      </c>
      <c r="N36" s="1009">
        <f t="shared" si="5"/>
        <v>451609.39000000019</v>
      </c>
      <c r="O36" s="1009">
        <f t="shared" si="6"/>
        <v>61706.489337926039</v>
      </c>
      <c r="P36" s="992" t="s">
        <v>1129</v>
      </c>
      <c r="Q36" s="713"/>
      <c r="R36" s="713"/>
      <c r="S36" s="963">
        <f t="shared" si="10"/>
        <v>61706.488275673073</v>
      </c>
      <c r="T36" s="1081"/>
      <c r="U36" s="1082"/>
      <c r="V36" s="1081"/>
      <c r="W36" s="1081"/>
      <c r="X36" s="1081"/>
      <c r="Y36" s="1081"/>
      <c r="Z36" s="1081"/>
      <c r="AA36" s="1081"/>
      <c r="AB36" s="1081"/>
      <c r="AC36" s="1081"/>
    </row>
    <row r="37" spans="1:29" s="559" customFormat="1" ht="11.25" customHeight="1">
      <c r="A37" s="614"/>
      <c r="B37" s="639">
        <v>45674</v>
      </c>
      <c r="C37" s="997" t="s">
        <v>250</v>
      </c>
      <c r="D37" s="1065"/>
      <c r="E37" s="1068">
        <v>11</v>
      </c>
      <c r="F37" s="1068" t="s">
        <v>107</v>
      </c>
      <c r="G37" s="640"/>
      <c r="H37" s="1004"/>
      <c r="I37" s="1003"/>
      <c r="J37" s="1003"/>
      <c r="K37" s="999">
        <v>7.2</v>
      </c>
      <c r="L37" s="612">
        <f>'통장내역(환율표)'!$D$246</f>
        <v>7.3190999922785887</v>
      </c>
      <c r="M37" s="1062">
        <f t="shared" si="9"/>
        <v>0.98372750851822832</v>
      </c>
      <c r="N37" s="1009">
        <f t="shared" si="5"/>
        <v>451602.19000000018</v>
      </c>
      <c r="O37" s="1009">
        <f t="shared" si="6"/>
        <v>61705.505610417524</v>
      </c>
      <c r="P37" s="992" t="s">
        <v>1129</v>
      </c>
      <c r="Q37" s="713"/>
      <c r="R37" s="713"/>
      <c r="S37" s="963">
        <f t="shared" si="10"/>
        <v>61705.504548164557</v>
      </c>
      <c r="T37" s="1081"/>
      <c r="U37" s="1082"/>
      <c r="V37" s="1081"/>
      <c r="W37" s="1081"/>
      <c r="X37" s="1081"/>
      <c r="Y37" s="1081"/>
      <c r="Z37" s="1081"/>
      <c r="AA37" s="1081"/>
      <c r="AB37" s="1081"/>
      <c r="AC37" s="1081"/>
    </row>
    <row r="38" spans="1:29" s="559" customFormat="1" ht="11.25" customHeight="1">
      <c r="A38" s="614"/>
      <c r="B38" s="639">
        <v>45674</v>
      </c>
      <c r="C38" s="997" t="s">
        <v>1414</v>
      </c>
      <c r="D38" s="1065"/>
      <c r="E38" s="1068">
        <v>12</v>
      </c>
      <c r="F38" s="1068" t="s">
        <v>116</v>
      </c>
      <c r="G38" s="640" t="s">
        <v>140</v>
      </c>
      <c r="H38" s="1004"/>
      <c r="I38" s="1003"/>
      <c r="J38" s="1003"/>
      <c r="K38" s="999">
        <v>417.84</v>
      </c>
      <c r="L38" s="612">
        <f>'통장내역(환율표)'!$D$246</f>
        <v>7.3190999922785887</v>
      </c>
      <c r="M38" s="1062">
        <f t="shared" si="9"/>
        <v>57.088986411007845</v>
      </c>
      <c r="N38" s="1009">
        <f t="shared" si="5"/>
        <v>451184.35000000015</v>
      </c>
      <c r="O38" s="1009">
        <f t="shared" si="6"/>
        <v>61648.416624006517</v>
      </c>
      <c r="P38" s="992" t="s">
        <v>1129</v>
      </c>
      <c r="Q38" s="713"/>
      <c r="R38" s="713" t="s">
        <v>188</v>
      </c>
      <c r="S38" s="963">
        <f t="shared" si="10"/>
        <v>61648.415561753551</v>
      </c>
      <c r="T38" s="1081"/>
      <c r="U38" s="1082"/>
      <c r="V38" s="1081"/>
      <c r="W38" s="1081"/>
      <c r="X38" s="1081"/>
      <c r="Y38" s="1081"/>
      <c r="Z38" s="1081"/>
      <c r="AA38" s="1081"/>
      <c r="AB38" s="1081"/>
      <c r="AC38" s="1081"/>
    </row>
    <row r="39" spans="1:29" s="559" customFormat="1" ht="11.25" customHeight="1">
      <c r="A39" s="614"/>
      <c r="B39" s="639">
        <v>45674</v>
      </c>
      <c r="C39" s="997" t="s">
        <v>250</v>
      </c>
      <c r="D39" s="1065"/>
      <c r="E39" s="1068">
        <v>13</v>
      </c>
      <c r="F39" s="106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1062">
        <f t="shared" si="9"/>
        <v>0.49186375425911416</v>
      </c>
      <c r="N39" s="1009">
        <f t="shared" si="5"/>
        <v>451180.75000000017</v>
      </c>
      <c r="O39" s="1009">
        <f t="shared" si="6"/>
        <v>61647.924760252259</v>
      </c>
      <c r="P39" s="992" t="s">
        <v>1129</v>
      </c>
      <c r="Q39" s="713"/>
      <c r="R39" s="713" t="s">
        <v>188</v>
      </c>
      <c r="S39" s="963">
        <f t="shared" si="10"/>
        <v>61647.923697999293</v>
      </c>
      <c r="T39" s="1081"/>
      <c r="U39" s="1082"/>
      <c r="V39" s="1081"/>
      <c r="W39" s="1081"/>
      <c r="X39" s="1081"/>
      <c r="Y39" s="1081"/>
      <c r="Z39" s="1081"/>
      <c r="AA39" s="1081"/>
      <c r="AB39" s="1081"/>
      <c r="AC39" s="1081"/>
    </row>
    <row r="40" spans="1:29" s="559" customFormat="1" ht="11.25" customHeight="1">
      <c r="A40" s="614"/>
      <c r="B40" s="639">
        <v>45674</v>
      </c>
      <c r="C40" s="997" t="s">
        <v>1429</v>
      </c>
      <c r="D40" s="1065"/>
      <c r="E40" s="1068">
        <v>14</v>
      </c>
      <c r="F40" s="1068" t="s">
        <v>146</v>
      </c>
      <c r="G40" s="640" t="s">
        <v>147</v>
      </c>
      <c r="H40" s="1004"/>
      <c r="I40" s="1003"/>
      <c r="J40" s="1003"/>
      <c r="K40" s="999">
        <v>2579.69</v>
      </c>
      <c r="L40" s="612">
        <f>'통장내역(환율표)'!$D$246</f>
        <v>7.3190999922785887</v>
      </c>
      <c r="M40" s="1062">
        <f t="shared" si="9"/>
        <v>352.46000228463726</v>
      </c>
      <c r="N40" s="1009">
        <f t="shared" si="5"/>
        <v>448601.06000000017</v>
      </c>
      <c r="O40" s="1009">
        <f t="shared" si="6"/>
        <v>61295.464757967624</v>
      </c>
      <c r="P40" s="992" t="s">
        <v>1129</v>
      </c>
      <c r="Q40" s="713"/>
      <c r="R40" s="713" t="s">
        <v>1415</v>
      </c>
      <c r="S40" s="963">
        <f t="shared" si="10"/>
        <v>61295.463695714658</v>
      </c>
      <c r="T40" s="1081"/>
      <c r="U40" s="1082"/>
      <c r="V40" s="1081"/>
      <c r="W40" s="1081"/>
      <c r="X40" s="1081"/>
      <c r="Y40" s="1081"/>
      <c r="Z40" s="1081"/>
      <c r="AA40" s="1081"/>
      <c r="AB40" s="1081"/>
      <c r="AC40" s="1081"/>
    </row>
    <row r="41" spans="1:29" s="559" customFormat="1" ht="11.25" customHeight="1">
      <c r="A41" s="614"/>
      <c r="B41" s="639">
        <v>45674</v>
      </c>
      <c r="C41" s="997" t="s">
        <v>1430</v>
      </c>
      <c r="D41" s="1065"/>
      <c r="E41" s="1068">
        <v>15</v>
      </c>
      <c r="F41" s="1068" t="s">
        <v>146</v>
      </c>
      <c r="G41" s="640" t="s">
        <v>147</v>
      </c>
      <c r="H41" s="1004"/>
      <c r="I41" s="1003"/>
      <c r="J41" s="1003"/>
      <c r="K41" s="999">
        <v>178.26</v>
      </c>
      <c r="L41" s="612">
        <f>'통장내역(환율표)'!$D$246</f>
        <v>7.3190999922785887</v>
      </c>
      <c r="M41" s="1062">
        <f t="shared" si="9"/>
        <v>24.355453565063801</v>
      </c>
      <c r="N41" s="1009">
        <f t="shared" si="5"/>
        <v>448422.80000000016</v>
      </c>
      <c r="O41" s="1009">
        <f t="shared" si="6"/>
        <v>61271.109304402562</v>
      </c>
      <c r="P41" s="992" t="s">
        <v>1129</v>
      </c>
      <c r="Q41" s="713"/>
      <c r="R41" s="713" t="s">
        <v>1415</v>
      </c>
      <c r="S41" s="963">
        <f t="shared" si="10"/>
        <v>61271.108242149596</v>
      </c>
      <c r="T41" s="1081"/>
      <c r="U41" s="1082"/>
      <c r="V41" s="1081"/>
      <c r="W41" s="1081"/>
      <c r="X41" s="1081"/>
      <c r="Y41" s="1081"/>
      <c r="Z41" s="1081"/>
      <c r="AA41" s="1081"/>
      <c r="AB41" s="1081"/>
      <c r="AC41" s="1081"/>
    </row>
    <row r="42" spans="1:29" s="559" customFormat="1" ht="11.25" customHeight="1">
      <c r="A42" s="614"/>
      <c r="B42" s="639">
        <v>45674</v>
      </c>
      <c r="C42" s="997" t="s">
        <v>1431</v>
      </c>
      <c r="D42" s="1065"/>
      <c r="E42" s="998">
        <v>16</v>
      </c>
      <c r="F42" s="640" t="s">
        <v>107</v>
      </c>
      <c r="G42" s="640"/>
      <c r="H42" s="1004"/>
      <c r="I42" s="1003"/>
      <c r="J42" s="1003"/>
      <c r="K42" s="999">
        <v>141.69999999999999</v>
      </c>
      <c r="L42" s="612">
        <f>'통장내역(환율표)'!$D$246</f>
        <v>7.3190999922785887</v>
      </c>
      <c r="M42" s="1062">
        <f t="shared" si="9"/>
        <v>19.36030388292124</v>
      </c>
      <c r="N42" s="1009">
        <f t="shared" si="5"/>
        <v>448281.10000000015</v>
      </c>
      <c r="O42" s="1009">
        <f t="shared" si="6"/>
        <v>61251.749000519638</v>
      </c>
      <c r="P42" s="992" t="s">
        <v>1129</v>
      </c>
      <c r="Q42" s="713"/>
      <c r="R42" s="713" t="s">
        <v>1415</v>
      </c>
      <c r="S42" s="963">
        <f t="shared" si="10"/>
        <v>61251.747938266672</v>
      </c>
      <c r="T42" s="1081"/>
      <c r="U42" s="1082"/>
      <c r="V42" s="1081"/>
      <c r="W42" s="1081"/>
      <c r="X42" s="1081"/>
      <c r="Y42" s="1081"/>
      <c r="Z42" s="1081"/>
      <c r="AA42" s="1081"/>
      <c r="AB42" s="1081"/>
      <c r="AC42" s="1081"/>
    </row>
    <row r="43" spans="1:29" s="559" customFormat="1" ht="11.25" customHeight="1">
      <c r="A43" s="614"/>
      <c r="B43" s="639">
        <v>45674</v>
      </c>
      <c r="C43" s="997" t="s">
        <v>19</v>
      </c>
      <c r="D43" s="1065"/>
      <c r="E43" s="998">
        <v>17</v>
      </c>
      <c r="F43" s="640" t="s">
        <v>116</v>
      </c>
      <c r="G43" s="640" t="s">
        <v>140</v>
      </c>
      <c r="H43" s="1004"/>
      <c r="I43" s="1003"/>
      <c r="J43" s="1003"/>
      <c r="K43" s="999">
        <v>98.8</v>
      </c>
      <c r="L43" s="612">
        <f>'통장내역(환율표)'!$D$246</f>
        <v>7.3190999922785887</v>
      </c>
      <c r="M43" s="1062">
        <f t="shared" si="9"/>
        <v>13.498927478000132</v>
      </c>
      <c r="N43" s="1009">
        <f t="shared" si="5"/>
        <v>448182.30000000016</v>
      </c>
      <c r="O43" s="1009">
        <f t="shared" si="6"/>
        <v>61238.250073041636</v>
      </c>
      <c r="P43" s="992" t="s">
        <v>1129</v>
      </c>
      <c r="Q43" s="713"/>
      <c r="R43" s="713" t="s">
        <v>1415</v>
      </c>
      <c r="S43" s="963">
        <f t="shared" si="10"/>
        <v>61238.24901078867</v>
      </c>
      <c r="T43" s="1081"/>
      <c r="U43" s="1082"/>
      <c r="V43" s="1081"/>
      <c r="W43" s="1081"/>
      <c r="X43" s="1081"/>
      <c r="Y43" s="1081"/>
      <c r="Z43" s="1081"/>
      <c r="AA43" s="1081"/>
      <c r="AB43" s="1081"/>
      <c r="AC43" s="1081"/>
    </row>
    <row r="44" spans="1:29" s="559" customFormat="1" ht="11.25" customHeight="1">
      <c r="A44" s="614"/>
      <c r="B44" s="639">
        <v>45674</v>
      </c>
      <c r="C44" s="997" t="s">
        <v>250</v>
      </c>
      <c r="D44" s="1065"/>
      <c r="E44" s="998">
        <v>18</v>
      </c>
      <c r="F44" s="640" t="s">
        <v>107</v>
      </c>
      <c r="G44" s="640"/>
      <c r="H44" s="1004"/>
      <c r="I44" s="1003"/>
      <c r="J44" s="1003"/>
      <c r="K44" s="999">
        <v>3.6</v>
      </c>
      <c r="L44" s="612">
        <f>'통장내역(환율표)'!$D$246</f>
        <v>7.3190999922785887</v>
      </c>
      <c r="M44" s="1062">
        <f t="shared" si="9"/>
        <v>0.49186375425911416</v>
      </c>
      <c r="N44" s="1009">
        <f t="shared" si="5"/>
        <v>448178.70000000019</v>
      </c>
      <c r="O44" s="1009">
        <f t="shared" si="6"/>
        <v>61237.758209287378</v>
      </c>
      <c r="P44" s="992" t="s">
        <v>1129</v>
      </c>
      <c r="Q44" s="713"/>
      <c r="R44" s="713" t="s">
        <v>1415</v>
      </c>
      <c r="S44" s="963">
        <f t="shared" si="10"/>
        <v>61237.757147034412</v>
      </c>
      <c r="T44" s="1081"/>
      <c r="U44" s="1082"/>
      <c r="V44" s="1081"/>
      <c r="W44" s="1081"/>
      <c r="X44" s="1081"/>
      <c r="Y44" s="1081"/>
      <c r="Z44" s="1081"/>
      <c r="AA44" s="1081"/>
      <c r="AB44" s="1081"/>
      <c r="AC44" s="1081"/>
    </row>
    <row r="45" spans="1:29" s="559" customFormat="1" ht="11.25" customHeight="1">
      <c r="A45" s="614"/>
      <c r="B45" s="639">
        <v>45674</v>
      </c>
      <c r="C45" s="997" t="s">
        <v>19</v>
      </c>
      <c r="D45" s="1065"/>
      <c r="E45" s="998">
        <v>19</v>
      </c>
      <c r="F45" s="640" t="s">
        <v>116</v>
      </c>
      <c r="G45" s="640" t="s">
        <v>140</v>
      </c>
      <c r="H45" s="1004"/>
      <c r="I45" s="1003"/>
      <c r="J45" s="1003"/>
      <c r="K45" s="999">
        <v>300</v>
      </c>
      <c r="L45" s="612">
        <f>'통장내역(환율표)'!$D$246</f>
        <v>7.3190999922785887</v>
      </c>
      <c r="M45" s="1062">
        <f t="shared" si="9"/>
        <v>40.988646188259516</v>
      </c>
      <c r="N45" s="1009">
        <f t="shared" si="5"/>
        <v>447878.70000000019</v>
      </c>
      <c r="O45" s="1009">
        <f t="shared" si="6"/>
        <v>61196.769563099122</v>
      </c>
      <c r="P45" s="992" t="s">
        <v>1129</v>
      </c>
      <c r="Q45" s="713"/>
      <c r="R45" s="713" t="s">
        <v>1416</v>
      </c>
      <c r="S45" s="963">
        <f t="shared" si="10"/>
        <v>61196.768500846156</v>
      </c>
      <c r="T45" s="1081"/>
      <c r="U45" s="1082"/>
      <c r="V45" s="1081"/>
      <c r="W45" s="1081"/>
      <c r="X45" s="1081"/>
      <c r="Y45" s="1081"/>
      <c r="Z45" s="1081"/>
      <c r="AA45" s="1081"/>
      <c r="AB45" s="1081"/>
      <c r="AC45" s="1081"/>
    </row>
    <row r="46" spans="1:29" s="559" customFormat="1" ht="11.25" customHeight="1">
      <c r="A46" s="614"/>
      <c r="B46" s="639">
        <v>45674</v>
      </c>
      <c r="C46" s="997" t="s">
        <v>1411</v>
      </c>
      <c r="D46" s="1065"/>
      <c r="E46" s="640">
        <v>20</v>
      </c>
      <c r="F46" s="640" t="s">
        <v>146</v>
      </c>
      <c r="G46" s="640" t="s">
        <v>147</v>
      </c>
      <c r="H46" s="640"/>
      <c r="I46" s="640"/>
      <c r="J46" s="640"/>
      <c r="K46" s="999">
        <v>133.68</v>
      </c>
      <c r="L46" s="612">
        <f>'통장내역(환율표)'!$D$246</f>
        <v>7.3190999922785887</v>
      </c>
      <c r="M46" s="1062">
        <f t="shared" si="9"/>
        <v>18.264540741488439</v>
      </c>
      <c r="N46" s="1009">
        <f t="shared" si="5"/>
        <v>447745.02000000019</v>
      </c>
      <c r="O46" s="1009">
        <f t="shared" si="6"/>
        <v>61178.505022357633</v>
      </c>
      <c r="P46" s="992" t="s">
        <v>1129</v>
      </c>
      <c r="Q46" s="713"/>
      <c r="R46" s="713" t="s">
        <v>1416</v>
      </c>
      <c r="S46" s="963">
        <f t="shared" si="10"/>
        <v>61178.503960104666</v>
      </c>
      <c r="T46" s="1081"/>
      <c r="U46" s="1082"/>
      <c r="V46" s="1081"/>
      <c r="W46" s="1081"/>
      <c r="X46" s="1081"/>
      <c r="Y46" s="1081"/>
      <c r="Z46" s="1081"/>
      <c r="AA46" s="1081"/>
      <c r="AB46" s="1081"/>
      <c r="AC46" s="1081"/>
    </row>
    <row r="47" spans="1:29" s="559" customFormat="1" ht="11.25" customHeight="1">
      <c r="A47" s="614"/>
      <c r="B47" s="639">
        <v>45674</v>
      </c>
      <c r="C47" s="997" t="s">
        <v>1431</v>
      </c>
      <c r="D47" s="1065"/>
      <c r="E47" s="640">
        <v>21</v>
      </c>
      <c r="F47" s="640" t="s">
        <v>107</v>
      </c>
      <c r="G47" s="640"/>
      <c r="H47" s="640"/>
      <c r="I47" s="640"/>
      <c r="J47" s="640"/>
      <c r="K47" s="999">
        <v>436.9</v>
      </c>
      <c r="L47" s="612">
        <f>'통장내역(환율표)'!$D$246</f>
        <v>7.3190999922785887</v>
      </c>
      <c r="M47" s="1062">
        <f t="shared" si="9"/>
        <v>59.693131732168602</v>
      </c>
      <c r="N47" s="1009">
        <f t="shared" si="5"/>
        <v>447308.12000000017</v>
      </c>
      <c r="O47" s="1009">
        <f t="shared" si="6"/>
        <v>61118.811890625468</v>
      </c>
      <c r="P47" s="992" t="s">
        <v>1129</v>
      </c>
      <c r="Q47" s="713"/>
      <c r="R47" s="713" t="s">
        <v>1416</v>
      </c>
      <c r="S47" s="963">
        <f t="shared" si="10"/>
        <v>61118.810828372501</v>
      </c>
      <c r="T47" s="1081"/>
      <c r="U47" s="1082"/>
      <c r="V47" s="1081"/>
      <c r="W47" s="1081"/>
      <c r="X47" s="1081"/>
      <c r="Y47" s="1081"/>
      <c r="Z47" s="1081"/>
      <c r="AA47" s="1081"/>
      <c r="AB47" s="1081"/>
      <c r="AC47" s="1081"/>
    </row>
    <row r="48" spans="1:29" s="559" customFormat="1" ht="11.25" customHeight="1">
      <c r="A48" s="614"/>
      <c r="B48" s="639">
        <v>45674</v>
      </c>
      <c r="C48" s="997" t="s">
        <v>1412</v>
      </c>
      <c r="D48" s="1065"/>
      <c r="E48" s="640">
        <v>22</v>
      </c>
      <c r="F48" s="640" t="s">
        <v>107</v>
      </c>
      <c r="G48" s="640"/>
      <c r="H48" s="640"/>
      <c r="I48" s="640"/>
      <c r="J48" s="640"/>
      <c r="K48" s="999">
        <v>265.7</v>
      </c>
      <c r="L48" s="612">
        <f>'통장내역(환율표)'!$D$246</f>
        <v>7.3190999922785887</v>
      </c>
      <c r="M48" s="1062">
        <f t="shared" si="9"/>
        <v>36.30227764073517</v>
      </c>
      <c r="N48" s="1009">
        <f t="shared" si="5"/>
        <v>447042.42000000016</v>
      </c>
      <c r="O48" s="1009">
        <f t="shared" si="6"/>
        <v>61082.50961298473</v>
      </c>
      <c r="P48" s="992" t="s">
        <v>1129</v>
      </c>
      <c r="Q48" s="713"/>
      <c r="R48" s="713" t="s">
        <v>1416</v>
      </c>
      <c r="S48" s="963">
        <f t="shared" si="10"/>
        <v>61082.508550731764</v>
      </c>
      <c r="T48" s="1081"/>
      <c r="U48" s="1082"/>
      <c r="V48" s="1081"/>
      <c r="W48" s="1081"/>
      <c r="X48" s="1081"/>
      <c r="Y48" s="1081"/>
      <c r="Z48" s="1081"/>
      <c r="AA48" s="1081"/>
      <c r="AB48" s="1081"/>
      <c r="AC48" s="1081"/>
    </row>
    <row r="49" spans="1:29" s="559" customFormat="1" ht="11.25" customHeight="1">
      <c r="A49" s="614"/>
      <c r="B49" s="639">
        <v>45674</v>
      </c>
      <c r="C49" s="997" t="s">
        <v>250</v>
      </c>
      <c r="D49" s="1065"/>
      <c r="E49" s="640">
        <v>23</v>
      </c>
      <c r="F49" s="640" t="s">
        <v>107</v>
      </c>
      <c r="G49" s="640"/>
      <c r="H49" s="640"/>
      <c r="I49" s="640"/>
      <c r="J49" s="640"/>
      <c r="K49" s="999">
        <v>3.6</v>
      </c>
      <c r="L49" s="612">
        <f>'통장내역(환율표)'!$D$246</f>
        <v>7.3190999922785887</v>
      </c>
      <c r="M49" s="1062">
        <f t="shared" si="9"/>
        <v>0.49186375425911416</v>
      </c>
      <c r="N49" s="1009">
        <f t="shared" si="5"/>
        <v>447038.82000000018</v>
      </c>
      <c r="O49" s="1009">
        <f t="shared" si="6"/>
        <v>61082.017749230472</v>
      </c>
      <c r="P49" s="992" t="s">
        <v>1129</v>
      </c>
      <c r="Q49" s="713"/>
      <c r="R49" s="713" t="s">
        <v>1416</v>
      </c>
      <c r="S49" s="963">
        <f t="shared" si="10"/>
        <v>61082.016686977506</v>
      </c>
      <c r="T49" s="1081"/>
      <c r="U49" s="1082"/>
      <c r="V49" s="1081"/>
      <c r="W49" s="1081"/>
      <c r="X49" s="1081"/>
      <c r="Y49" s="1081"/>
      <c r="Z49" s="1081"/>
      <c r="AA49" s="1081"/>
      <c r="AB49" s="1081"/>
      <c r="AC49" s="1081"/>
    </row>
    <row r="50" spans="1:29" s="559" customFormat="1" ht="11.25" customHeight="1">
      <c r="A50" s="614"/>
      <c r="B50" s="639">
        <v>45674</v>
      </c>
      <c r="C50" s="1046" t="s">
        <v>1413</v>
      </c>
      <c r="D50" s="1065"/>
      <c r="E50" s="640">
        <v>24</v>
      </c>
      <c r="F50" s="640" t="s">
        <v>146</v>
      </c>
      <c r="G50" s="640" t="s">
        <v>147</v>
      </c>
      <c r="H50" s="640"/>
      <c r="I50" s="640"/>
      <c r="J50" s="640"/>
      <c r="K50" s="999">
        <v>175.6</v>
      </c>
      <c r="L50" s="612">
        <f>'통장내역(환율표)'!$D$246</f>
        <v>7.3190999922785887</v>
      </c>
      <c r="M50" s="1062">
        <f t="shared" si="9"/>
        <v>23.992020902194568</v>
      </c>
      <c r="N50" s="1009">
        <f t="shared" si="5"/>
        <v>446863.2200000002</v>
      </c>
      <c r="O50" s="1009">
        <f t="shared" si="6"/>
        <v>61058.025728328277</v>
      </c>
      <c r="P50" s="992" t="s">
        <v>1129</v>
      </c>
      <c r="Q50" s="713"/>
      <c r="R50" s="713" t="s">
        <v>1417</v>
      </c>
      <c r="S50" s="963">
        <f t="shared" si="10"/>
        <v>61058.024666075311</v>
      </c>
      <c r="T50" s="1081"/>
      <c r="U50" s="1082"/>
      <c r="V50" s="1081"/>
      <c r="W50" s="1081"/>
      <c r="X50" s="1081"/>
      <c r="Y50" s="1081"/>
      <c r="Z50" s="1081"/>
      <c r="AA50" s="1081"/>
      <c r="AB50" s="1081"/>
      <c r="AC50" s="1081"/>
    </row>
    <row r="51" spans="1:29" s="559" customFormat="1" ht="11.25" customHeight="1">
      <c r="A51" s="614"/>
      <c r="B51" s="639">
        <v>45674</v>
      </c>
      <c r="C51" s="1046" t="s">
        <v>19</v>
      </c>
      <c r="D51" s="1065"/>
      <c r="E51" s="640">
        <v>25</v>
      </c>
      <c r="F51" s="640" t="s">
        <v>116</v>
      </c>
      <c r="G51" s="640" t="s">
        <v>140</v>
      </c>
      <c r="H51" s="640"/>
      <c r="I51" s="640"/>
      <c r="J51" s="640"/>
      <c r="K51" s="999">
        <v>299.2</v>
      </c>
      <c r="L51" s="612">
        <f>'통장내역(환율표)'!$D$246</f>
        <v>7.3190999922785887</v>
      </c>
      <c r="M51" s="1062">
        <f t="shared" si="9"/>
        <v>40.879343131757487</v>
      </c>
      <c r="N51" s="1009">
        <f t="shared" si="5"/>
        <v>446564.02000000019</v>
      </c>
      <c r="O51" s="1009">
        <f t="shared" si="6"/>
        <v>61017.146385196516</v>
      </c>
      <c r="P51" s="992" t="s">
        <v>1129</v>
      </c>
      <c r="Q51" s="713"/>
      <c r="R51" s="713" t="s">
        <v>1417</v>
      </c>
      <c r="S51" s="963">
        <f t="shared" si="10"/>
        <v>61017.14532294355</v>
      </c>
      <c r="T51" s="1081"/>
      <c r="U51" s="1082"/>
      <c r="V51" s="1081"/>
      <c r="W51" s="1081"/>
      <c r="X51" s="1081"/>
      <c r="Y51" s="1081"/>
      <c r="Z51" s="1081"/>
      <c r="AA51" s="1081"/>
      <c r="AB51" s="1081"/>
      <c r="AC51" s="1081"/>
    </row>
    <row r="52" spans="1:29" ht="11.25" customHeight="1">
      <c r="B52" s="639">
        <v>45674</v>
      </c>
      <c r="C52" s="1046" t="s">
        <v>1431</v>
      </c>
      <c r="D52" s="1065"/>
      <c r="E52" s="998">
        <v>26</v>
      </c>
      <c r="F52" s="640" t="s">
        <v>107</v>
      </c>
      <c r="G52" s="640"/>
      <c r="H52" s="640"/>
      <c r="I52" s="640"/>
      <c r="J52" s="640"/>
      <c r="K52" s="999">
        <v>36</v>
      </c>
      <c r="L52" s="612">
        <f>'통장내역(환율표)'!$D$246</f>
        <v>7.3190999922785887</v>
      </c>
      <c r="M52" s="1062">
        <f t="shared" si="9"/>
        <v>4.9186375425911413</v>
      </c>
      <c r="N52" s="1009">
        <f t="shared" ref="N52:N83" si="11">N51+H52-K52</f>
        <v>446528.02000000019</v>
      </c>
      <c r="O52" s="1009">
        <f t="shared" ref="O52:O83" si="12">O51+J52-M52</f>
        <v>61012.227747653924</v>
      </c>
      <c r="P52" s="992" t="s">
        <v>1129</v>
      </c>
      <c r="Q52" s="713"/>
      <c r="R52" s="713" t="s">
        <v>1417</v>
      </c>
      <c r="S52" s="963">
        <f t="shared" si="10"/>
        <v>61012.226685400958</v>
      </c>
    </row>
    <row r="53" spans="1:29" ht="11.25" customHeight="1">
      <c r="B53" s="639">
        <v>45674</v>
      </c>
      <c r="C53" s="1046" t="s">
        <v>11</v>
      </c>
      <c r="D53" s="1065"/>
      <c r="E53" s="998">
        <v>27</v>
      </c>
      <c r="F53" s="640" t="s">
        <v>125</v>
      </c>
      <c r="G53" s="640" t="s">
        <v>145</v>
      </c>
      <c r="H53" s="640"/>
      <c r="I53" s="640"/>
      <c r="J53" s="640"/>
      <c r="K53" s="999">
        <v>16527.080000000002</v>
      </c>
      <c r="L53" s="612">
        <f>'통장내역(환율표)'!$D$246</f>
        <v>7.3190999922785887</v>
      </c>
      <c r="M53" s="1062">
        <f t="shared" si="9"/>
        <v>2258.0754488168668</v>
      </c>
      <c r="N53" s="1009">
        <f t="shared" si="11"/>
        <v>430000.94000000018</v>
      </c>
      <c r="O53" s="1009">
        <f t="shared" si="12"/>
        <v>58754.152298837056</v>
      </c>
      <c r="P53" s="992" t="s">
        <v>1129</v>
      </c>
      <c r="Q53" s="713"/>
      <c r="R53" s="713" t="s">
        <v>1417</v>
      </c>
      <c r="S53" s="963">
        <f t="shared" si="10"/>
        <v>58754.15123658409</v>
      </c>
    </row>
    <row r="54" spans="1:29" ht="11.25" customHeight="1">
      <c r="B54" s="639">
        <v>45674</v>
      </c>
      <c r="C54" s="1046" t="s">
        <v>1410</v>
      </c>
      <c r="D54" s="1065"/>
      <c r="E54" s="998">
        <v>28</v>
      </c>
      <c r="F54" s="640" t="s">
        <v>107</v>
      </c>
      <c r="G54" s="1053"/>
      <c r="H54" s="1053"/>
      <c r="I54" s="1053"/>
      <c r="J54" s="1053"/>
      <c r="K54" s="999">
        <v>5746.98</v>
      </c>
      <c r="L54" s="612">
        <f>'통장내역(환율표)'!$D$246</f>
        <v>7.3190999922785887</v>
      </c>
      <c r="M54" s="1062">
        <f t="shared" si="9"/>
        <v>785.20309957001211</v>
      </c>
      <c r="N54" s="1009">
        <f t="shared" si="11"/>
        <v>424253.9600000002</v>
      </c>
      <c r="O54" s="1009">
        <f t="shared" si="12"/>
        <v>57968.949199267045</v>
      </c>
      <c r="P54" s="992" t="s">
        <v>1129</v>
      </c>
      <c r="Q54" s="713"/>
      <c r="R54" s="713" t="s">
        <v>1421</v>
      </c>
      <c r="S54" s="963">
        <f t="shared" si="10"/>
        <v>57968.948137014078</v>
      </c>
    </row>
    <row r="55" spans="1:29" ht="11.25" customHeight="1">
      <c r="B55" s="639">
        <v>45674</v>
      </c>
      <c r="C55" s="997" t="s">
        <v>250</v>
      </c>
      <c r="D55" s="1065"/>
      <c r="E55" s="998">
        <v>29</v>
      </c>
      <c r="F55" s="640" t="s">
        <v>107</v>
      </c>
      <c r="G55" s="1053"/>
      <c r="H55" s="1053"/>
      <c r="I55" s="1053"/>
      <c r="J55" s="1053"/>
      <c r="K55" s="999">
        <v>7.2</v>
      </c>
      <c r="L55" s="612">
        <f>'통장내역(환율표)'!$D$246</f>
        <v>7.3190999922785887</v>
      </c>
      <c r="M55" s="1062">
        <f t="shared" si="9"/>
        <v>0.98372750851822832</v>
      </c>
      <c r="N55" s="1009">
        <f t="shared" si="11"/>
        <v>424246.76000000018</v>
      </c>
      <c r="O55" s="1009">
        <f t="shared" si="12"/>
        <v>57967.965471758529</v>
      </c>
      <c r="P55" s="992" t="s">
        <v>1129</v>
      </c>
      <c r="Q55" s="713"/>
      <c r="R55" s="713" t="s">
        <v>1417</v>
      </c>
      <c r="S55" s="963">
        <f t="shared" si="10"/>
        <v>57967.964409505563</v>
      </c>
    </row>
    <row r="56" spans="1:29" ht="11.25" customHeight="1">
      <c r="B56" s="639">
        <v>45674</v>
      </c>
      <c r="C56" s="1046" t="s">
        <v>1432</v>
      </c>
      <c r="D56" s="1065"/>
      <c r="E56" s="998">
        <v>30</v>
      </c>
      <c r="F56" s="640" t="s">
        <v>146</v>
      </c>
      <c r="G56" s="1053" t="s">
        <v>147</v>
      </c>
      <c r="H56" s="1053"/>
      <c r="I56" s="1053"/>
      <c r="J56" s="1053"/>
      <c r="K56" s="999">
        <v>2151</v>
      </c>
      <c r="L56" s="612">
        <f>'통장내역(환율표)'!$D$246</f>
        <v>7.3190999922785887</v>
      </c>
      <c r="M56" s="1062">
        <f t="shared" si="9"/>
        <v>293.88859316982069</v>
      </c>
      <c r="N56" s="1009">
        <f t="shared" si="11"/>
        <v>422095.76000000018</v>
      </c>
      <c r="O56" s="1009">
        <f t="shared" si="12"/>
        <v>57674.076878588705</v>
      </c>
      <c r="P56" s="992" t="s">
        <v>1129</v>
      </c>
      <c r="Q56" s="713"/>
      <c r="R56" s="713" t="s">
        <v>1418</v>
      </c>
      <c r="S56" s="963">
        <f t="shared" si="10"/>
        <v>57674.075816335739</v>
      </c>
    </row>
    <row r="57" spans="1:29" ht="11.25" customHeight="1">
      <c r="B57" s="639">
        <v>45674</v>
      </c>
      <c r="C57" s="1046" t="s">
        <v>1433</v>
      </c>
      <c r="D57" s="1065"/>
      <c r="E57" s="1053">
        <v>31</v>
      </c>
      <c r="F57" s="1053" t="s">
        <v>146</v>
      </c>
      <c r="G57" s="1053" t="s">
        <v>147</v>
      </c>
      <c r="H57" s="1053"/>
      <c r="I57" s="1053"/>
      <c r="J57" s="1053"/>
      <c r="K57" s="999">
        <v>177</v>
      </c>
      <c r="L57" s="612">
        <f>'통장내역(환율표)'!$D$246</f>
        <v>7.3190999922785887</v>
      </c>
      <c r="M57" s="1062">
        <f t="shared" si="9"/>
        <v>24.183301251073111</v>
      </c>
      <c r="N57" s="1009">
        <f t="shared" si="11"/>
        <v>421918.76000000018</v>
      </c>
      <c r="O57" s="1009">
        <f t="shared" si="12"/>
        <v>57649.893577337629</v>
      </c>
      <c r="P57" s="992" t="s">
        <v>1129</v>
      </c>
      <c r="Q57" s="713"/>
      <c r="R57" s="713" t="s">
        <v>1418</v>
      </c>
      <c r="S57" s="963">
        <f t="shared" si="10"/>
        <v>57649.892515084663</v>
      </c>
    </row>
    <row r="58" spans="1:29" ht="11.25" customHeight="1">
      <c r="B58" s="639">
        <v>45674</v>
      </c>
      <c r="C58" s="1046" t="s">
        <v>1434</v>
      </c>
      <c r="D58" s="1065"/>
      <c r="E58" s="998">
        <v>32</v>
      </c>
      <c r="F58" s="1053" t="s">
        <v>146</v>
      </c>
      <c r="G58" s="1053" t="s">
        <v>147</v>
      </c>
      <c r="H58" s="1053"/>
      <c r="I58" s="1053"/>
      <c r="J58" s="1053"/>
      <c r="K58" s="999">
        <v>308</v>
      </c>
      <c r="L58" s="612">
        <f>'통장내역(환율표)'!$D$246</f>
        <v>7.3190999922785887</v>
      </c>
      <c r="M58" s="1062">
        <f t="shared" si="9"/>
        <v>42.081676753279766</v>
      </c>
      <c r="N58" s="1009">
        <f t="shared" si="11"/>
        <v>421610.76000000018</v>
      </c>
      <c r="O58" s="1009">
        <f t="shared" si="12"/>
        <v>57607.811900584347</v>
      </c>
      <c r="P58" s="992" t="s">
        <v>1129</v>
      </c>
      <c r="Q58" s="713"/>
      <c r="R58" s="713" t="s">
        <v>1418</v>
      </c>
      <c r="S58" s="963">
        <f t="shared" si="10"/>
        <v>57607.810838331381</v>
      </c>
    </row>
    <row r="59" spans="1:29" ht="11.25" customHeight="1">
      <c r="B59" s="639">
        <v>45674</v>
      </c>
      <c r="C59" s="997" t="s">
        <v>250</v>
      </c>
      <c r="D59" s="1065"/>
      <c r="E59" s="998">
        <v>33</v>
      </c>
      <c r="F59" s="1053" t="s">
        <v>107</v>
      </c>
      <c r="G59" s="1053"/>
      <c r="H59" s="1053"/>
      <c r="I59" s="1053"/>
      <c r="J59" s="1053"/>
      <c r="K59" s="999">
        <v>3.6</v>
      </c>
      <c r="L59" s="612">
        <f>'통장내역(환율표)'!$D$246</f>
        <v>7.3190999922785887</v>
      </c>
      <c r="M59" s="1062">
        <f t="shared" si="9"/>
        <v>0.49186375425911416</v>
      </c>
      <c r="N59" s="1009">
        <f t="shared" si="11"/>
        <v>421607.16000000021</v>
      </c>
      <c r="O59" s="1009">
        <f t="shared" si="12"/>
        <v>57607.32003683009</v>
      </c>
      <c r="P59" s="992" t="s">
        <v>1129</v>
      </c>
      <c r="Q59" s="713"/>
      <c r="R59" s="713" t="s">
        <v>1418</v>
      </c>
      <c r="S59" s="963">
        <f t="shared" si="10"/>
        <v>57607.318974577123</v>
      </c>
    </row>
    <row r="60" spans="1:29" ht="11.25" customHeight="1">
      <c r="B60" s="639">
        <v>45674</v>
      </c>
      <c r="C60" s="1046" t="s">
        <v>1432</v>
      </c>
      <c r="D60" s="1065"/>
      <c r="E60" s="998">
        <v>34</v>
      </c>
      <c r="F60" s="1053" t="s">
        <v>146</v>
      </c>
      <c r="G60" s="1053" t="s">
        <v>147</v>
      </c>
      <c r="H60" s="1053"/>
      <c r="I60" s="1053"/>
      <c r="J60" s="1053"/>
      <c r="K60" s="999">
        <v>1050</v>
      </c>
      <c r="L60" s="612">
        <f>'통장내역(환율표)'!$D$246</f>
        <v>7.3190999922785887</v>
      </c>
      <c r="M60" s="1062">
        <f t="shared" si="9"/>
        <v>143.46026165890828</v>
      </c>
      <c r="N60" s="1009">
        <f t="shared" si="11"/>
        <v>420557.16000000021</v>
      </c>
      <c r="O60" s="1009">
        <f t="shared" si="12"/>
        <v>57463.859775171179</v>
      </c>
      <c r="P60" s="992" t="s">
        <v>1129</v>
      </c>
      <c r="Q60" s="713"/>
      <c r="R60" s="713" t="s">
        <v>1419</v>
      </c>
      <c r="S60" s="963">
        <f t="shared" si="10"/>
        <v>57463.858712918212</v>
      </c>
    </row>
    <row r="61" spans="1:29" ht="11.25" customHeight="1">
      <c r="B61" s="639">
        <v>45674</v>
      </c>
      <c r="C61" s="1046" t="s">
        <v>1434</v>
      </c>
      <c r="D61" s="1065"/>
      <c r="E61" s="998">
        <v>35</v>
      </c>
      <c r="F61" s="1053" t="s">
        <v>146</v>
      </c>
      <c r="G61" s="1053" t="s">
        <v>147</v>
      </c>
      <c r="H61" s="1053"/>
      <c r="I61" s="1053"/>
      <c r="J61" s="1053"/>
      <c r="K61" s="999">
        <v>212</v>
      </c>
      <c r="L61" s="612">
        <f>'통장내역(환율표)'!$D$246</f>
        <v>7.3190999922785887</v>
      </c>
      <c r="M61" s="1062">
        <f t="shared" si="9"/>
        <v>28.965309973036721</v>
      </c>
      <c r="N61" s="1009">
        <f t="shared" si="11"/>
        <v>420345.16000000021</v>
      </c>
      <c r="O61" s="1009">
        <f t="shared" si="12"/>
        <v>57434.894465198144</v>
      </c>
      <c r="P61" s="992" t="s">
        <v>1129</v>
      </c>
      <c r="Q61" s="713"/>
      <c r="R61" s="713" t="s">
        <v>1419</v>
      </c>
      <c r="S61" s="963">
        <f t="shared" si="10"/>
        <v>57434.893402945178</v>
      </c>
    </row>
    <row r="62" spans="1:29" ht="11.25" customHeight="1">
      <c r="B62" s="639">
        <v>45674</v>
      </c>
      <c r="C62" s="1046" t="s">
        <v>1433</v>
      </c>
      <c r="D62" s="1065"/>
      <c r="E62" s="1053">
        <v>36</v>
      </c>
      <c r="F62" s="1053" t="s">
        <v>146</v>
      </c>
      <c r="G62" s="1053" t="s">
        <v>147</v>
      </c>
      <c r="H62" s="1053"/>
      <c r="I62" s="1053"/>
      <c r="J62" s="1053"/>
      <c r="K62" s="999">
        <v>103</v>
      </c>
      <c r="L62" s="612">
        <f>'통장내역(환율표)'!$D$246</f>
        <v>7.3190999922785887</v>
      </c>
      <c r="M62" s="1062">
        <f t="shared" si="9"/>
        <v>14.072768524635766</v>
      </c>
      <c r="N62" s="1009">
        <f t="shared" si="11"/>
        <v>420242.16000000021</v>
      </c>
      <c r="O62" s="1009">
        <f t="shared" si="12"/>
        <v>57420.821696673505</v>
      </c>
      <c r="P62" s="992" t="s">
        <v>1129</v>
      </c>
      <c r="Q62" s="713"/>
      <c r="R62" s="713" t="s">
        <v>1419</v>
      </c>
      <c r="S62" s="963">
        <f t="shared" si="10"/>
        <v>57420.820634420539</v>
      </c>
    </row>
    <row r="63" spans="1:29" ht="11.25" customHeight="1">
      <c r="B63" s="639">
        <v>45674</v>
      </c>
      <c r="C63" s="997" t="s">
        <v>250</v>
      </c>
      <c r="D63" s="1065"/>
      <c r="E63" s="998">
        <v>37</v>
      </c>
      <c r="F63" s="1053" t="s">
        <v>107</v>
      </c>
      <c r="G63" s="1053"/>
      <c r="H63" s="1053"/>
      <c r="I63" s="1053"/>
      <c r="J63" s="1053"/>
      <c r="K63" s="999">
        <v>3.6</v>
      </c>
      <c r="L63" s="612">
        <f>'통장내역(환율표)'!$D$246</f>
        <v>7.3190999922785887</v>
      </c>
      <c r="M63" s="1062">
        <f t="shared" ref="M63:M94" si="13">K63/L63</f>
        <v>0.49186375425911416</v>
      </c>
      <c r="N63" s="1009">
        <f t="shared" si="11"/>
        <v>420238.56000000023</v>
      </c>
      <c r="O63" s="1009">
        <f t="shared" si="12"/>
        <v>57420.329832919248</v>
      </c>
      <c r="P63" s="992" t="s">
        <v>1129</v>
      </c>
      <c r="Q63" s="713"/>
      <c r="R63" s="713" t="s">
        <v>1419</v>
      </c>
      <c r="S63" s="963">
        <f t="shared" si="10"/>
        <v>57420.328770666281</v>
      </c>
    </row>
    <row r="64" spans="1:29" ht="11.25" customHeight="1">
      <c r="B64" s="639">
        <v>45677</v>
      </c>
      <c r="C64" s="1046" t="s">
        <v>1429</v>
      </c>
      <c r="D64" s="1065"/>
      <c r="E64" s="998">
        <v>38</v>
      </c>
      <c r="F64" s="1053" t="s">
        <v>146</v>
      </c>
      <c r="G64" s="1053" t="s">
        <v>147</v>
      </c>
      <c r="H64" s="1053"/>
      <c r="I64" s="1053"/>
      <c r="J64" s="1053"/>
      <c r="K64" s="999">
        <v>5580.13</v>
      </c>
      <c r="L64" s="612">
        <f>'통장내역(환율표)'!$D$246</f>
        <v>7.3190999922785887</v>
      </c>
      <c r="M64" s="1062">
        <f t="shared" si="13"/>
        <v>762.40658084830852</v>
      </c>
      <c r="N64" s="1009">
        <f t="shared" si="11"/>
        <v>414658.43000000023</v>
      </c>
      <c r="O64" s="1009">
        <f t="shared" si="12"/>
        <v>56657.923252070941</v>
      </c>
      <c r="P64" s="992" t="s">
        <v>1129</v>
      </c>
      <c r="Q64" s="713"/>
      <c r="R64" s="713" t="s">
        <v>211</v>
      </c>
      <c r="S64" s="963">
        <f t="shared" si="10"/>
        <v>56657.922189817975</v>
      </c>
    </row>
    <row r="65" spans="2:19" ht="11.25" customHeight="1">
      <c r="B65" s="639">
        <v>45677</v>
      </c>
      <c r="C65" s="1046" t="s">
        <v>11</v>
      </c>
      <c r="D65" s="1065"/>
      <c r="E65" s="998">
        <v>39</v>
      </c>
      <c r="F65" s="1053" t="s">
        <v>125</v>
      </c>
      <c r="G65" s="1053" t="s">
        <v>145</v>
      </c>
      <c r="H65" s="1053"/>
      <c r="I65" s="1053"/>
      <c r="J65" s="1053"/>
      <c r="K65" s="999">
        <v>13597</v>
      </c>
      <c r="L65" s="612">
        <f>'통장내역(환율표)'!$D$246</f>
        <v>7.3190999922785887</v>
      </c>
      <c r="M65" s="1062">
        <f t="shared" si="13"/>
        <v>1857.7420740725486</v>
      </c>
      <c r="N65" s="1009">
        <f t="shared" si="11"/>
        <v>401061.43000000023</v>
      </c>
      <c r="O65" s="1009">
        <f t="shared" si="12"/>
        <v>54800.181177998391</v>
      </c>
      <c r="P65" s="992" t="s">
        <v>1129</v>
      </c>
      <c r="Q65" s="713"/>
      <c r="R65" s="713" t="s">
        <v>211</v>
      </c>
      <c r="S65" s="963">
        <f t="shared" si="10"/>
        <v>54800.180115745425</v>
      </c>
    </row>
    <row r="66" spans="2:19" ht="11.25" customHeight="1">
      <c r="B66" s="639">
        <v>45677</v>
      </c>
      <c r="C66" s="1046" t="s">
        <v>19</v>
      </c>
      <c r="D66" s="1065"/>
      <c r="E66" s="998">
        <v>40</v>
      </c>
      <c r="F66" s="1053" t="s">
        <v>116</v>
      </c>
      <c r="G66" s="1053" t="s">
        <v>140</v>
      </c>
      <c r="H66" s="1053"/>
      <c r="I66" s="1053"/>
      <c r="J66" s="1053"/>
      <c r="K66" s="999">
        <v>297</v>
      </c>
      <c r="L66" s="612">
        <f>'통장내역(환율표)'!$D$246</f>
        <v>7.3190999922785887</v>
      </c>
      <c r="M66" s="1062">
        <f t="shared" si="13"/>
        <v>40.578759726376916</v>
      </c>
      <c r="N66" s="1009">
        <f t="shared" si="11"/>
        <v>400764.43000000023</v>
      </c>
      <c r="O66" s="1009">
        <f t="shared" si="12"/>
        <v>54759.602418272014</v>
      </c>
      <c r="P66" s="992" t="s">
        <v>1129</v>
      </c>
      <c r="Q66" s="713"/>
      <c r="R66" s="713" t="s">
        <v>211</v>
      </c>
      <c r="S66" s="963">
        <f t="shared" si="10"/>
        <v>54759.601356019048</v>
      </c>
    </row>
    <row r="67" spans="2:19" ht="11.25" customHeight="1">
      <c r="B67" s="639">
        <v>45677</v>
      </c>
      <c r="C67" s="1046" t="s">
        <v>250</v>
      </c>
      <c r="D67" s="1065"/>
      <c r="E67" s="640">
        <v>41</v>
      </c>
      <c r="F67" s="640" t="s">
        <v>107</v>
      </c>
      <c r="G67" s="640"/>
      <c r="H67" s="640"/>
      <c r="I67" s="640"/>
      <c r="J67" s="640"/>
      <c r="K67" s="999">
        <v>7.2</v>
      </c>
      <c r="L67" s="612">
        <f>'통장내역(환율표)'!$D$246</f>
        <v>7.3190999922785887</v>
      </c>
      <c r="M67" s="1062">
        <f t="shared" si="13"/>
        <v>0.98372750851822832</v>
      </c>
      <c r="N67" s="1009">
        <f t="shared" si="11"/>
        <v>400757.23000000021</v>
      </c>
      <c r="O67" s="1009">
        <f t="shared" si="12"/>
        <v>54758.618690763498</v>
      </c>
      <c r="P67" s="992" t="s">
        <v>1129</v>
      </c>
      <c r="Q67" s="713"/>
      <c r="R67" s="713" t="s">
        <v>211</v>
      </c>
      <c r="S67" s="963">
        <f t="shared" si="10"/>
        <v>54758.617628510532</v>
      </c>
    </row>
    <row r="68" spans="2:19" ht="11.25" customHeight="1">
      <c r="B68" s="639">
        <v>45677</v>
      </c>
      <c r="C68" s="1046" t="s">
        <v>1429</v>
      </c>
      <c r="D68" s="1065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10595.86</v>
      </c>
      <c r="L68" s="612">
        <f>'통장내역(환율표)'!$D$246</f>
        <v>7.3190999922785887</v>
      </c>
      <c r="M68" s="1062">
        <f t="shared" si="13"/>
        <v>1447.6998553344381</v>
      </c>
      <c r="N68" s="1009">
        <f t="shared" si="11"/>
        <v>390161.37000000023</v>
      </c>
      <c r="O68" s="1009">
        <f t="shared" si="12"/>
        <v>53310.91883542906</v>
      </c>
      <c r="P68" s="992" t="s">
        <v>1129</v>
      </c>
      <c r="Q68" s="713"/>
      <c r="R68" s="713" t="s">
        <v>1420</v>
      </c>
      <c r="S68" s="963">
        <f t="shared" si="10"/>
        <v>53310.917773176094</v>
      </c>
    </row>
    <row r="69" spans="2:19" ht="11.25" customHeight="1">
      <c r="B69" s="639">
        <v>45677</v>
      </c>
      <c r="C69" s="1046" t="s">
        <v>1430</v>
      </c>
      <c r="D69" s="1065"/>
      <c r="E69" s="998">
        <v>43</v>
      </c>
      <c r="F69" s="640" t="s">
        <v>146</v>
      </c>
      <c r="G69" s="640" t="s">
        <v>147</v>
      </c>
      <c r="H69" s="640"/>
      <c r="I69" s="640"/>
      <c r="J69" s="640"/>
      <c r="K69" s="999">
        <v>163.86</v>
      </c>
      <c r="L69" s="612">
        <f>'통장내역(환율표)'!$D$246</f>
        <v>7.3190999922785887</v>
      </c>
      <c r="M69" s="1062">
        <f t="shared" si="13"/>
        <v>22.387998548027348</v>
      </c>
      <c r="N69" s="1009">
        <f t="shared" si="11"/>
        <v>389997.51000000024</v>
      </c>
      <c r="O69" s="1009">
        <f t="shared" si="12"/>
        <v>53288.530836881029</v>
      </c>
      <c r="P69" s="992" t="s">
        <v>1129</v>
      </c>
      <c r="Q69" s="713"/>
      <c r="R69" s="713" t="s">
        <v>1420</v>
      </c>
      <c r="S69" s="963">
        <f t="shared" si="10"/>
        <v>53288.529774628063</v>
      </c>
    </row>
    <row r="70" spans="2:19" ht="11.25" customHeight="1">
      <c r="B70" s="639">
        <v>45677</v>
      </c>
      <c r="C70" s="1046" t="s">
        <v>1435</v>
      </c>
      <c r="D70" s="1065"/>
      <c r="E70" s="640">
        <v>44</v>
      </c>
      <c r="F70" s="640" t="s">
        <v>107</v>
      </c>
      <c r="G70" s="640"/>
      <c r="H70" s="640"/>
      <c r="I70" s="640"/>
      <c r="J70" s="640"/>
      <c r="K70" s="999">
        <v>59</v>
      </c>
      <c r="L70" s="612">
        <f>'통장내역(환율표)'!$D$246</f>
        <v>7.3190999922785887</v>
      </c>
      <c r="M70" s="1062">
        <f t="shared" si="13"/>
        <v>8.0611004170243703</v>
      </c>
      <c r="N70" s="1009">
        <f t="shared" si="11"/>
        <v>389938.51000000024</v>
      </c>
      <c r="O70" s="1009">
        <f t="shared" si="12"/>
        <v>53280.469736464001</v>
      </c>
      <c r="P70" s="992" t="s">
        <v>1129</v>
      </c>
      <c r="Q70" s="713"/>
      <c r="R70" s="713" t="s">
        <v>1420</v>
      </c>
      <c r="S70" s="963">
        <f t="shared" si="10"/>
        <v>53280.468674211035</v>
      </c>
    </row>
    <row r="71" spans="2:19" ht="11.25" customHeight="1">
      <c r="B71" s="639">
        <v>45677</v>
      </c>
      <c r="C71" s="1046" t="s">
        <v>250</v>
      </c>
      <c r="D71" s="1065"/>
      <c r="E71" s="998">
        <v>45</v>
      </c>
      <c r="F71" s="640" t="s">
        <v>107</v>
      </c>
      <c r="G71" s="640"/>
      <c r="H71" s="640"/>
      <c r="I71" s="640"/>
      <c r="J71" s="640"/>
      <c r="K71" s="999">
        <v>7.2</v>
      </c>
      <c r="L71" s="612">
        <f>'통장내역(환율표)'!$D$246</f>
        <v>7.3190999922785887</v>
      </c>
      <c r="M71" s="1062">
        <f t="shared" si="13"/>
        <v>0.98372750851822832</v>
      </c>
      <c r="N71" s="1009">
        <f t="shared" si="11"/>
        <v>389931.31000000023</v>
      </c>
      <c r="O71" s="1009">
        <f t="shared" si="12"/>
        <v>53279.486008955486</v>
      </c>
      <c r="P71" s="992" t="s">
        <v>1129</v>
      </c>
      <c r="Q71" s="713"/>
      <c r="R71" s="713" t="s">
        <v>1420</v>
      </c>
      <c r="S71" s="963">
        <f t="shared" si="10"/>
        <v>53279.48494670252</v>
      </c>
    </row>
    <row r="72" spans="2:19" ht="11.25" customHeight="1">
      <c r="B72" s="639">
        <v>45679</v>
      </c>
      <c r="C72" s="1046" t="s">
        <v>1437</v>
      </c>
      <c r="D72" s="1063"/>
      <c r="E72" s="998">
        <v>46</v>
      </c>
      <c r="F72" s="640" t="s">
        <v>107</v>
      </c>
      <c r="G72" s="640"/>
      <c r="H72" s="640"/>
      <c r="I72" s="640"/>
      <c r="J72" s="640"/>
      <c r="K72" s="999">
        <v>15000</v>
      </c>
      <c r="L72" s="612">
        <f>'통장내역(환율표)'!$D$246</f>
        <v>7.3190999922785887</v>
      </c>
      <c r="M72" s="1062">
        <f t="shared" si="13"/>
        <v>2049.4323094129754</v>
      </c>
      <c r="N72" s="1009">
        <f t="shared" si="11"/>
        <v>374931.31000000023</v>
      </c>
      <c r="O72" s="1009">
        <f t="shared" si="12"/>
        <v>51230.053699542514</v>
      </c>
      <c r="P72" s="992" t="s">
        <v>1129</v>
      </c>
      <c r="Q72" s="713"/>
      <c r="R72" s="713"/>
      <c r="S72" s="963">
        <f t="shared" si="10"/>
        <v>51230.052637289547</v>
      </c>
    </row>
    <row r="73" spans="2:19" ht="11.25" customHeight="1">
      <c r="B73" s="639">
        <v>45679</v>
      </c>
      <c r="C73" s="997" t="s">
        <v>250</v>
      </c>
      <c r="D73" s="1063"/>
      <c r="E73" s="998">
        <v>47</v>
      </c>
      <c r="F73" s="640" t="s">
        <v>107</v>
      </c>
      <c r="G73" s="640"/>
      <c r="H73" s="640"/>
      <c r="I73" s="640"/>
      <c r="J73" s="640"/>
      <c r="K73" s="999">
        <v>7.2</v>
      </c>
      <c r="L73" s="612">
        <f>'통장내역(환율표)'!$D$246</f>
        <v>7.3190999922785887</v>
      </c>
      <c r="M73" s="1062">
        <f t="shared" si="13"/>
        <v>0.98372750851822832</v>
      </c>
      <c r="N73" s="1009">
        <f t="shared" si="11"/>
        <v>374924.11000000022</v>
      </c>
      <c r="O73" s="1009">
        <f t="shared" si="12"/>
        <v>51229.069972033998</v>
      </c>
      <c r="P73" s="992" t="s">
        <v>1129</v>
      </c>
      <c r="Q73" s="713"/>
      <c r="R73" s="713"/>
      <c r="S73" s="963">
        <f t="shared" si="10"/>
        <v>51229.068909781032</v>
      </c>
    </row>
    <row r="74" spans="2:19" ht="11.25" customHeight="1">
      <c r="B74" s="639">
        <v>45680</v>
      </c>
      <c r="C74" s="1046" t="s">
        <v>892</v>
      </c>
      <c r="D74" s="1063"/>
      <c r="E74" s="998">
        <v>48</v>
      </c>
      <c r="F74" s="640" t="s">
        <v>107</v>
      </c>
      <c r="G74" s="640"/>
      <c r="H74" s="640"/>
      <c r="I74" s="640"/>
      <c r="J74" s="640"/>
      <c r="K74" s="999">
        <v>16000</v>
      </c>
      <c r="L74" s="612">
        <f>'통장내역(환율표)'!$D$246</f>
        <v>7.3190999922785887</v>
      </c>
      <c r="M74" s="1062">
        <f t="shared" si="13"/>
        <v>2186.0611300405071</v>
      </c>
      <c r="N74" s="1009">
        <f t="shared" si="11"/>
        <v>358924.11000000022</v>
      </c>
      <c r="O74" s="1009">
        <f t="shared" si="12"/>
        <v>49043.008841993491</v>
      </c>
      <c r="P74" s="992" t="s">
        <v>1129</v>
      </c>
      <c r="Q74" s="713"/>
      <c r="R74" s="713" t="s">
        <v>211</v>
      </c>
      <c r="S74" s="963">
        <f t="shared" si="10"/>
        <v>49043.007779740525</v>
      </c>
    </row>
    <row r="75" spans="2:19" ht="11.25" customHeight="1">
      <c r="B75" s="639">
        <v>45680</v>
      </c>
      <c r="C75" s="1046" t="s">
        <v>947</v>
      </c>
      <c r="D75" s="1063"/>
      <c r="E75" s="998">
        <v>48</v>
      </c>
      <c r="F75" s="640" t="s">
        <v>107</v>
      </c>
      <c r="G75" s="640"/>
      <c r="H75" s="640"/>
      <c r="I75" s="640"/>
      <c r="J75" s="640"/>
      <c r="K75" s="999">
        <v>24000</v>
      </c>
      <c r="L75" s="612">
        <f>'통장내역(환율표)'!$D$246</f>
        <v>7.3190999922785887</v>
      </c>
      <c r="M75" s="1062">
        <f t="shared" si="13"/>
        <v>3279.0916950607611</v>
      </c>
      <c r="N75" s="1009">
        <f t="shared" si="11"/>
        <v>334924.11000000022</v>
      </c>
      <c r="O75" s="1009">
        <f t="shared" si="12"/>
        <v>45763.917146932727</v>
      </c>
      <c r="P75" s="992" t="s">
        <v>1129</v>
      </c>
      <c r="Q75" s="713"/>
      <c r="R75" s="713" t="s">
        <v>211</v>
      </c>
      <c r="S75" s="963">
        <f t="shared" si="10"/>
        <v>45763.91608467976</v>
      </c>
    </row>
    <row r="76" spans="2:19" ht="11.25" customHeight="1">
      <c r="B76" s="639">
        <v>45680</v>
      </c>
      <c r="C76" s="1046" t="s">
        <v>894</v>
      </c>
      <c r="D76" s="1002"/>
      <c r="E76" s="998">
        <v>48</v>
      </c>
      <c r="F76" s="640" t="s">
        <v>107</v>
      </c>
      <c r="G76" s="640"/>
      <c r="H76" s="640"/>
      <c r="I76" s="640"/>
      <c r="J76" s="640"/>
      <c r="K76" s="999">
        <v>5305.19</v>
      </c>
      <c r="L76" s="612">
        <f>'통장내역(환율표)'!$D$246</f>
        <v>7.3190999922785887</v>
      </c>
      <c r="M76" s="1062">
        <f t="shared" si="13"/>
        <v>724.84185290497487</v>
      </c>
      <c r="N76" s="1009">
        <f t="shared" si="11"/>
        <v>329618.92000000022</v>
      </c>
      <c r="O76" s="1009">
        <f t="shared" si="12"/>
        <v>45039.075294027753</v>
      </c>
      <c r="P76" s="992" t="s">
        <v>1129</v>
      </c>
      <c r="Q76" s="713"/>
      <c r="R76" s="713" t="s">
        <v>211</v>
      </c>
      <c r="S76" s="963">
        <f t="shared" si="10"/>
        <v>45039.074231774786</v>
      </c>
    </row>
    <row r="77" spans="2:19" ht="11.25" customHeight="1">
      <c r="B77" s="639">
        <v>45680</v>
      </c>
      <c r="C77" s="1046" t="s">
        <v>895</v>
      </c>
      <c r="D77" s="1002"/>
      <c r="E77" s="998">
        <v>48</v>
      </c>
      <c r="F77" s="640" t="s">
        <v>107</v>
      </c>
      <c r="G77" s="640"/>
      <c r="H77" s="640"/>
      <c r="I77" s="640"/>
      <c r="J77" s="640"/>
      <c r="K77" s="999">
        <v>1001.04</v>
      </c>
      <c r="L77" s="612">
        <f>'통장내역(환율표)'!$D$246</f>
        <v>7.3190999922785887</v>
      </c>
      <c r="M77" s="1062">
        <f t="shared" si="13"/>
        <v>136.77091460098433</v>
      </c>
      <c r="N77" s="1009">
        <f t="shared" si="11"/>
        <v>328617.88000000024</v>
      </c>
      <c r="O77" s="1009">
        <f t="shared" si="12"/>
        <v>44902.304379426765</v>
      </c>
      <c r="P77" s="992" t="s">
        <v>1129</v>
      </c>
      <c r="Q77" s="713"/>
      <c r="R77" s="713" t="s">
        <v>211</v>
      </c>
      <c r="S77" s="963">
        <f t="shared" si="10"/>
        <v>44902.303317173799</v>
      </c>
    </row>
    <row r="78" spans="2:19" ht="11.25" customHeight="1">
      <c r="B78" s="639">
        <v>45680</v>
      </c>
      <c r="C78" s="1046" t="s">
        <v>899</v>
      </c>
      <c r="D78" s="1002"/>
      <c r="E78" s="998">
        <v>48</v>
      </c>
      <c r="F78" s="640" t="s">
        <v>107</v>
      </c>
      <c r="G78" s="640"/>
      <c r="H78" s="640"/>
      <c r="I78" s="640"/>
      <c r="J78" s="640"/>
      <c r="K78" s="999">
        <v>300</v>
      </c>
      <c r="L78" s="612">
        <f>'통장내역(환율표)'!$D$246</f>
        <v>7.3190999922785887</v>
      </c>
      <c r="M78" s="1062">
        <f t="shared" si="13"/>
        <v>40.988646188259516</v>
      </c>
      <c r="N78" s="1009">
        <f t="shared" si="11"/>
        <v>328317.88000000024</v>
      </c>
      <c r="O78" s="1009">
        <f t="shared" si="12"/>
        <v>44861.315733238509</v>
      </c>
      <c r="P78" s="992" t="s">
        <v>1129</v>
      </c>
      <c r="Q78" s="713"/>
      <c r="R78" s="713" t="s">
        <v>211</v>
      </c>
      <c r="S78" s="963">
        <f t="shared" si="10"/>
        <v>44861.314670985543</v>
      </c>
    </row>
    <row r="79" spans="2:19" ht="11.25" customHeight="1">
      <c r="B79" s="639">
        <v>45680</v>
      </c>
      <c r="C79" s="1046" t="s">
        <v>892</v>
      </c>
      <c r="D79" s="1002"/>
      <c r="E79" s="998">
        <v>48</v>
      </c>
      <c r="F79" s="640" t="s">
        <v>107</v>
      </c>
      <c r="G79" s="640"/>
      <c r="H79" s="640"/>
      <c r="I79" s="640"/>
      <c r="J79" s="640"/>
      <c r="K79" s="999">
        <v>16000</v>
      </c>
      <c r="L79" s="612">
        <f>'통장내역(환율표)'!$D$246</f>
        <v>7.3190999922785887</v>
      </c>
      <c r="M79" s="1062">
        <f t="shared" si="13"/>
        <v>2186.0611300405071</v>
      </c>
      <c r="N79" s="1009">
        <f t="shared" si="11"/>
        <v>312317.88000000024</v>
      </c>
      <c r="O79" s="1009">
        <f t="shared" si="12"/>
        <v>42675.254603198002</v>
      </c>
      <c r="P79" s="992" t="s">
        <v>1129</v>
      </c>
      <c r="Q79" s="713"/>
      <c r="R79" s="713" t="s">
        <v>188</v>
      </c>
      <c r="S79" s="963">
        <f t="shared" si="10"/>
        <v>42675.253540945036</v>
      </c>
    </row>
    <row r="80" spans="2:19" ht="11.25" customHeight="1">
      <c r="B80" s="639">
        <v>45680</v>
      </c>
      <c r="C80" s="1046" t="s">
        <v>947</v>
      </c>
      <c r="D80" s="1002"/>
      <c r="E80" s="998">
        <v>48</v>
      </c>
      <c r="F80" s="640" t="s">
        <v>107</v>
      </c>
      <c r="G80" s="640"/>
      <c r="H80" s="640"/>
      <c r="I80" s="640"/>
      <c r="J80" s="640"/>
      <c r="K80" s="999">
        <v>24000</v>
      </c>
      <c r="L80" s="612">
        <f>'통장내역(환율표)'!$D$246</f>
        <v>7.3190999922785887</v>
      </c>
      <c r="M80" s="1062">
        <f t="shared" si="13"/>
        <v>3279.0916950607611</v>
      </c>
      <c r="N80" s="1009">
        <f t="shared" si="11"/>
        <v>288317.88000000024</v>
      </c>
      <c r="O80" s="1009">
        <f t="shared" si="12"/>
        <v>39396.162908137238</v>
      </c>
      <c r="P80" s="992" t="s">
        <v>1129</v>
      </c>
      <c r="Q80" s="713"/>
      <c r="R80" s="713" t="s">
        <v>188</v>
      </c>
      <c r="S80" s="963">
        <f t="shared" si="10"/>
        <v>39396.161845884271</v>
      </c>
    </row>
    <row r="81" spans="2:19" ht="11.25" customHeight="1">
      <c r="B81" s="639">
        <v>45680</v>
      </c>
      <c r="C81" s="1046" t="s">
        <v>894</v>
      </c>
      <c r="D81" s="1002"/>
      <c r="E81" s="998">
        <v>48</v>
      </c>
      <c r="F81" s="640" t="s">
        <v>107</v>
      </c>
      <c r="G81" s="640"/>
      <c r="H81" s="640"/>
      <c r="I81" s="640"/>
      <c r="J81" s="640"/>
      <c r="K81" s="999">
        <v>8726.19</v>
      </c>
      <c r="L81" s="612">
        <f>'통장내역(환율표)'!$D$246</f>
        <v>7.3190999922785887</v>
      </c>
      <c r="M81" s="1062">
        <f t="shared" si="13"/>
        <v>1192.249048271761</v>
      </c>
      <c r="N81" s="1009">
        <f t="shared" si="11"/>
        <v>279591.69000000024</v>
      </c>
      <c r="O81" s="1009">
        <f t="shared" si="12"/>
        <v>38203.913859865475</v>
      </c>
      <c r="P81" s="992" t="s">
        <v>1129</v>
      </c>
      <c r="Q81" s="713"/>
      <c r="R81" s="713" t="s">
        <v>188</v>
      </c>
      <c r="S81" s="963">
        <f t="shared" si="10"/>
        <v>38203.912797612509</v>
      </c>
    </row>
    <row r="82" spans="2:19" ht="11.25" customHeight="1">
      <c r="B82" s="639">
        <v>45680</v>
      </c>
      <c r="C82" s="1046" t="s">
        <v>895</v>
      </c>
      <c r="D82" s="1002"/>
      <c r="E82" s="998">
        <v>48</v>
      </c>
      <c r="F82" s="640" t="s">
        <v>107</v>
      </c>
      <c r="G82" s="640"/>
      <c r="H82" s="640"/>
      <c r="I82" s="640"/>
      <c r="J82" s="640"/>
      <c r="K82" s="999">
        <v>950.1</v>
      </c>
      <c r="L82" s="612">
        <f>'통장내역(환율표)'!$D$246</f>
        <v>7.3190999922785887</v>
      </c>
      <c r="M82" s="1062">
        <f t="shared" si="13"/>
        <v>129.81104247821787</v>
      </c>
      <c r="N82" s="1009">
        <f t="shared" si="11"/>
        <v>278641.59000000026</v>
      </c>
      <c r="O82" s="1009">
        <f t="shared" si="12"/>
        <v>38074.102817387255</v>
      </c>
      <c r="P82" s="992" t="s">
        <v>1129</v>
      </c>
      <c r="Q82" s="713"/>
      <c r="R82" s="713" t="s">
        <v>188</v>
      </c>
      <c r="S82" s="963">
        <f t="shared" si="10"/>
        <v>38074.101755134288</v>
      </c>
    </row>
    <row r="83" spans="2:19" ht="11.25" customHeight="1">
      <c r="B83" s="639">
        <v>45680</v>
      </c>
      <c r="C83" s="1046" t="s">
        <v>899</v>
      </c>
      <c r="D83" s="1002"/>
      <c r="E83" s="998">
        <v>48</v>
      </c>
      <c r="F83" s="640" t="s">
        <v>107</v>
      </c>
      <c r="G83" s="640"/>
      <c r="H83" s="640"/>
      <c r="I83" s="640"/>
      <c r="J83" s="640"/>
      <c r="K83" s="999">
        <v>300</v>
      </c>
      <c r="L83" s="612">
        <f>'통장내역(환율표)'!$D$246</f>
        <v>7.3190999922785887</v>
      </c>
      <c r="M83" s="1062">
        <f t="shared" si="13"/>
        <v>40.988646188259516</v>
      </c>
      <c r="N83" s="1009">
        <f t="shared" si="11"/>
        <v>278341.59000000026</v>
      </c>
      <c r="O83" s="1009">
        <f t="shared" si="12"/>
        <v>38033.114171198999</v>
      </c>
      <c r="P83" s="992" t="s">
        <v>1129</v>
      </c>
      <c r="Q83" s="713"/>
      <c r="R83" s="713" t="s">
        <v>188</v>
      </c>
      <c r="S83" s="963">
        <f t="shared" si="10"/>
        <v>38033.113108946032</v>
      </c>
    </row>
    <row r="84" spans="2:19" ht="11.25" customHeight="1">
      <c r="B84" s="639">
        <v>45680</v>
      </c>
      <c r="C84" s="1046" t="s">
        <v>898</v>
      </c>
      <c r="D84" s="1002"/>
      <c r="E84" s="998">
        <v>48</v>
      </c>
      <c r="F84" s="640" t="s">
        <v>107</v>
      </c>
      <c r="G84" s="640"/>
      <c r="H84" s="640"/>
      <c r="I84" s="640"/>
      <c r="J84" s="640"/>
      <c r="K84" s="999">
        <v>25750</v>
      </c>
      <c r="L84" s="612">
        <f>'통장내역(환율표)'!$D$246</f>
        <v>7.3190999922785887</v>
      </c>
      <c r="M84" s="1062">
        <f t="shared" si="13"/>
        <v>3518.1921311589413</v>
      </c>
      <c r="N84" s="1009">
        <f t="shared" ref="N84:N105" si="14">N83+H84-K84</f>
        <v>252591.59000000026</v>
      </c>
      <c r="O84" s="1009">
        <f t="shared" ref="O84:O105" si="15">O83+J84-M84</f>
        <v>34514.922040040059</v>
      </c>
      <c r="P84" s="992" t="s">
        <v>1129</v>
      </c>
      <c r="Q84" s="713"/>
      <c r="R84" s="713" t="s">
        <v>995</v>
      </c>
      <c r="S84" s="963">
        <f t="shared" si="10"/>
        <v>34514.920977787093</v>
      </c>
    </row>
    <row r="85" spans="2:19" ht="11.25" customHeight="1">
      <c r="B85" s="639">
        <v>45680</v>
      </c>
      <c r="C85" s="1046" t="s">
        <v>1118</v>
      </c>
      <c r="D85" s="1002"/>
      <c r="E85" s="998">
        <v>48</v>
      </c>
      <c r="F85" s="640" t="s">
        <v>107</v>
      </c>
      <c r="G85" s="640"/>
      <c r="H85" s="999"/>
      <c r="I85" s="612"/>
      <c r="J85" s="1025"/>
      <c r="K85" s="994">
        <v>66500</v>
      </c>
      <c r="L85" s="612">
        <f>'통장내역(환율표)'!$D$246</f>
        <v>7.3190999922785887</v>
      </c>
      <c r="M85" s="1062">
        <f t="shared" si="13"/>
        <v>9085.8165717308584</v>
      </c>
      <c r="N85" s="1009">
        <f t="shared" si="14"/>
        <v>186091.59000000026</v>
      </c>
      <c r="O85" s="1009">
        <f t="shared" si="15"/>
        <v>25429.105468309201</v>
      </c>
      <c r="P85" s="992" t="s">
        <v>1129</v>
      </c>
      <c r="Q85" s="713"/>
      <c r="R85" s="713" t="s">
        <v>995</v>
      </c>
      <c r="S85" s="963">
        <f t="shared" si="10"/>
        <v>25429.104406056234</v>
      </c>
    </row>
    <row r="86" spans="2:19" ht="11.25" customHeight="1">
      <c r="B86" s="639">
        <v>45680</v>
      </c>
      <c r="C86" s="1046" t="s">
        <v>948</v>
      </c>
      <c r="D86" s="1002"/>
      <c r="E86" s="998">
        <v>48</v>
      </c>
      <c r="F86" s="640" t="s">
        <v>107</v>
      </c>
      <c r="G86" s="640"/>
      <c r="H86" s="640"/>
      <c r="I86" s="640"/>
      <c r="J86" s="640"/>
      <c r="K86" s="999">
        <v>7431.44</v>
      </c>
      <c r="L86" s="612">
        <f>'통장내역(환율표)'!$D$246</f>
        <v>7.3190999922785887</v>
      </c>
      <c r="M86" s="1062">
        <f t="shared" si="13"/>
        <v>1015.3488827642642</v>
      </c>
      <c r="N86" s="1009">
        <f t="shared" si="14"/>
        <v>178660.15000000026</v>
      </c>
      <c r="O86" s="1009">
        <f t="shared" si="15"/>
        <v>24413.756585544936</v>
      </c>
      <c r="P86" s="992" t="s">
        <v>1129</v>
      </c>
      <c r="Q86" s="713"/>
      <c r="R86" s="713" t="s">
        <v>995</v>
      </c>
      <c r="S86" s="963">
        <f t="shared" si="10"/>
        <v>24413.755523291969</v>
      </c>
    </row>
    <row r="87" spans="2:19" ht="11.25" customHeight="1">
      <c r="B87" s="639">
        <v>45680</v>
      </c>
      <c r="C87" s="1046" t="s">
        <v>899</v>
      </c>
      <c r="D87" s="1002"/>
      <c r="E87" s="998">
        <v>48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'통장내역(환율표)'!$D$246</f>
        <v>7.3190999922785887</v>
      </c>
      <c r="M87" s="1062">
        <f t="shared" si="13"/>
        <v>40.988646188259516</v>
      </c>
      <c r="N87" s="1009">
        <f t="shared" si="14"/>
        <v>178360.15000000026</v>
      </c>
      <c r="O87" s="1009">
        <f t="shared" si="15"/>
        <v>24372.767939356676</v>
      </c>
      <c r="P87" s="992" t="s">
        <v>1129</v>
      </c>
      <c r="Q87" s="713"/>
      <c r="R87" s="713" t="s">
        <v>995</v>
      </c>
      <c r="S87" s="963">
        <f t="shared" si="10"/>
        <v>24372.76687710371</v>
      </c>
    </row>
    <row r="88" spans="2:19" ht="11.25" customHeight="1">
      <c r="B88" s="639">
        <v>45680</v>
      </c>
      <c r="C88" s="1046" t="s">
        <v>992</v>
      </c>
      <c r="D88" s="1002"/>
      <c r="E88" s="998">
        <v>48</v>
      </c>
      <c r="F88" s="640" t="s">
        <v>107</v>
      </c>
      <c r="G88" s="640"/>
      <c r="H88" s="640"/>
      <c r="I88" s="640"/>
      <c r="J88" s="640"/>
      <c r="K88" s="999">
        <v>200</v>
      </c>
      <c r="L88" s="612">
        <f>'통장내역(환율표)'!$D$246</f>
        <v>7.3190999922785887</v>
      </c>
      <c r="M88" s="1062">
        <f t="shared" si="13"/>
        <v>27.325764125506343</v>
      </c>
      <c r="N88" s="1009">
        <f t="shared" si="14"/>
        <v>178160.15000000026</v>
      </c>
      <c r="O88" s="1009">
        <f t="shared" si="15"/>
        <v>24345.442175231168</v>
      </c>
      <c r="P88" s="992" t="s">
        <v>1129</v>
      </c>
      <c r="Q88" s="713"/>
      <c r="R88" s="713" t="s">
        <v>995</v>
      </c>
      <c r="S88" s="963">
        <f t="shared" si="10"/>
        <v>24345.441112978202</v>
      </c>
    </row>
    <row r="89" spans="2:19" ht="11.25" customHeight="1">
      <c r="B89" s="639">
        <v>45680</v>
      </c>
      <c r="C89" s="1046" t="s">
        <v>898</v>
      </c>
      <c r="D89" s="1002"/>
      <c r="E89" s="998">
        <v>48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'통장내역(환율표)'!$D$246</f>
        <v>7.3190999922785887</v>
      </c>
      <c r="M89" s="1062">
        <f t="shared" si="13"/>
        <v>1829.4599082026496</v>
      </c>
      <c r="N89" s="1009">
        <f t="shared" si="14"/>
        <v>164770.15000000026</v>
      </c>
      <c r="O89" s="1009">
        <f t="shared" si="15"/>
        <v>22515.982267028518</v>
      </c>
      <c r="P89" s="992" t="s">
        <v>1129</v>
      </c>
      <c r="Q89" s="713"/>
      <c r="R89" s="713" t="s">
        <v>1427</v>
      </c>
      <c r="S89" s="963">
        <f t="shared" si="10"/>
        <v>22515.981204775551</v>
      </c>
    </row>
    <row r="90" spans="2:19" ht="11.25" customHeight="1">
      <c r="B90" s="639">
        <v>45680</v>
      </c>
      <c r="C90" s="1046" t="s">
        <v>1118</v>
      </c>
      <c r="D90" s="1002"/>
      <c r="E90" s="998">
        <v>48</v>
      </c>
      <c r="F90" s="640" t="s">
        <v>107</v>
      </c>
      <c r="G90" s="640"/>
      <c r="H90" s="640"/>
      <c r="I90" s="640"/>
      <c r="J90" s="640"/>
      <c r="K90" s="999">
        <v>6500</v>
      </c>
      <c r="L90" s="612">
        <f>'통장내역(환율표)'!$D$246</f>
        <v>7.3190999922785887</v>
      </c>
      <c r="M90" s="1062">
        <f t="shared" si="13"/>
        <v>888.08733407895613</v>
      </c>
      <c r="N90" s="1009">
        <f t="shared" si="14"/>
        <v>158270.15000000026</v>
      </c>
      <c r="O90" s="1009">
        <f t="shared" si="15"/>
        <v>21627.894932949563</v>
      </c>
      <c r="P90" s="992" t="s">
        <v>1129</v>
      </c>
      <c r="Q90" s="713"/>
      <c r="R90" s="713" t="s">
        <v>1427</v>
      </c>
      <c r="S90" s="963">
        <f t="shared" si="10"/>
        <v>21627.893870696596</v>
      </c>
    </row>
    <row r="91" spans="2:19" ht="11.25" customHeight="1">
      <c r="B91" s="639">
        <v>45680</v>
      </c>
      <c r="C91" s="1046" t="s">
        <v>948</v>
      </c>
      <c r="D91" s="1002"/>
      <c r="E91" s="998">
        <v>48</v>
      </c>
      <c r="F91" s="640" t="s">
        <v>107</v>
      </c>
      <c r="G91" s="640"/>
      <c r="H91" s="640"/>
      <c r="I91" s="640"/>
      <c r="J91" s="640"/>
      <c r="K91" s="999">
        <v>3281.57</v>
      </c>
      <c r="L91" s="612">
        <f>'통장내역(환율표)'!$D$246</f>
        <v>7.3190999922785887</v>
      </c>
      <c r="M91" s="1062">
        <f t="shared" si="13"/>
        <v>448.35703890668924</v>
      </c>
      <c r="N91" s="1009">
        <f t="shared" si="14"/>
        <v>154988.58000000025</v>
      </c>
      <c r="O91" s="1009">
        <f t="shared" si="15"/>
        <v>21179.537894042875</v>
      </c>
      <c r="P91" s="992" t="s">
        <v>1129</v>
      </c>
      <c r="Q91" s="713"/>
      <c r="R91" s="713" t="s">
        <v>1427</v>
      </c>
      <c r="S91" s="963">
        <f t="shared" si="10"/>
        <v>21179.536831789908</v>
      </c>
    </row>
    <row r="92" spans="2:19" ht="11.25" customHeight="1">
      <c r="B92" s="639">
        <v>45680</v>
      </c>
      <c r="C92" s="1046" t="s">
        <v>899</v>
      </c>
      <c r="D92" s="1002"/>
      <c r="E92" s="998">
        <v>48</v>
      </c>
      <c r="F92" s="640" t="s">
        <v>107</v>
      </c>
      <c r="G92" s="640"/>
      <c r="H92" s="640"/>
      <c r="I92" s="640"/>
      <c r="J92" s="640"/>
      <c r="K92" s="999">
        <v>300</v>
      </c>
      <c r="L92" s="612">
        <f>'통장내역(환율표)'!$D$246</f>
        <v>7.3190999922785887</v>
      </c>
      <c r="M92" s="1062">
        <f t="shared" si="13"/>
        <v>40.988646188259516</v>
      </c>
      <c r="N92" s="1009">
        <f t="shared" si="14"/>
        <v>154688.58000000025</v>
      </c>
      <c r="O92" s="1009">
        <f t="shared" si="15"/>
        <v>21138.549247854615</v>
      </c>
      <c r="P92" s="992" t="s">
        <v>1129</v>
      </c>
      <c r="Q92" s="713"/>
      <c r="R92" s="713" t="s">
        <v>1427</v>
      </c>
      <c r="S92" s="963">
        <f t="shared" si="10"/>
        <v>21138.548185601649</v>
      </c>
    </row>
    <row r="93" spans="2:19" ht="11.25" customHeight="1">
      <c r="B93" s="639">
        <v>45680</v>
      </c>
      <c r="C93" s="1046" t="s">
        <v>992</v>
      </c>
      <c r="D93" s="1002"/>
      <c r="E93" s="998">
        <v>48</v>
      </c>
      <c r="F93" s="640" t="s">
        <v>107</v>
      </c>
      <c r="G93" s="640"/>
      <c r="H93" s="640"/>
      <c r="I93" s="640"/>
      <c r="J93" s="640"/>
      <c r="K93" s="999">
        <v>200</v>
      </c>
      <c r="L93" s="612">
        <f>'통장내역(환율표)'!$D$246</f>
        <v>7.3190999922785887</v>
      </c>
      <c r="M93" s="1062">
        <f t="shared" si="13"/>
        <v>27.325764125506343</v>
      </c>
      <c r="N93" s="1009">
        <f t="shared" si="14"/>
        <v>154488.58000000025</v>
      </c>
      <c r="O93" s="1009">
        <f t="shared" si="15"/>
        <v>21111.223483729107</v>
      </c>
      <c r="P93" s="992" t="s">
        <v>1129</v>
      </c>
      <c r="Q93" s="713"/>
      <c r="R93" s="713" t="s">
        <v>1427</v>
      </c>
      <c r="S93" s="963">
        <f t="shared" si="10"/>
        <v>21111.222421476141</v>
      </c>
    </row>
    <row r="94" spans="2:19" ht="11.25" customHeight="1">
      <c r="B94" s="639">
        <v>45680</v>
      </c>
      <c r="C94" s="1046" t="s">
        <v>898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25750</v>
      </c>
      <c r="L94" s="612">
        <f>'통장내역(환율표)'!$D$246</f>
        <v>7.3190999922785887</v>
      </c>
      <c r="M94" s="1062">
        <f t="shared" si="13"/>
        <v>3518.1921311589413</v>
      </c>
      <c r="N94" s="1009">
        <f t="shared" si="14"/>
        <v>128738.58000000025</v>
      </c>
      <c r="O94" s="1009">
        <f t="shared" si="15"/>
        <v>17593.031352570164</v>
      </c>
      <c r="P94" s="992" t="s">
        <v>1129</v>
      </c>
      <c r="Q94" s="713"/>
      <c r="R94" s="713" t="s">
        <v>902</v>
      </c>
      <c r="S94" s="963">
        <f t="shared" si="10"/>
        <v>17593.030290317198</v>
      </c>
    </row>
    <row r="95" spans="2:19" ht="11.25" customHeight="1">
      <c r="B95" s="639">
        <v>45680</v>
      </c>
      <c r="C95" s="1046" t="s">
        <v>1118</v>
      </c>
      <c r="D95" s="1002"/>
      <c r="E95" s="998">
        <v>48</v>
      </c>
      <c r="F95" s="640" t="s">
        <v>107</v>
      </c>
      <c r="G95" s="640"/>
      <c r="H95" s="640"/>
      <c r="I95" s="640"/>
      <c r="J95" s="640"/>
      <c r="K95" s="999">
        <v>12500</v>
      </c>
      <c r="L95" s="612">
        <f>'통장내역(환율표)'!$D$246</f>
        <v>7.3190999922785887</v>
      </c>
      <c r="M95" s="1062">
        <f t="shared" ref="M95:M103" si="16">K95/L95</f>
        <v>1707.8602578441464</v>
      </c>
      <c r="N95" s="1009">
        <f t="shared" si="14"/>
        <v>116238.58000000025</v>
      </c>
      <c r="O95" s="1009">
        <f t="shared" si="15"/>
        <v>15885.171094726018</v>
      </c>
      <c r="P95" s="992" t="s">
        <v>1129</v>
      </c>
      <c r="Q95" s="713"/>
      <c r="R95" s="713" t="s">
        <v>902</v>
      </c>
      <c r="S95" s="963">
        <f t="shared" si="10"/>
        <v>15885.170032473052</v>
      </c>
    </row>
    <row r="96" spans="2:19" ht="11.25" customHeight="1">
      <c r="B96" s="639">
        <v>45680</v>
      </c>
      <c r="C96" s="1046" t="s">
        <v>948</v>
      </c>
      <c r="D96" s="1002"/>
      <c r="E96" s="998">
        <v>48</v>
      </c>
      <c r="F96" s="640" t="s">
        <v>107</v>
      </c>
      <c r="G96" s="640"/>
      <c r="H96" s="640"/>
      <c r="I96" s="640"/>
      <c r="J96" s="640"/>
      <c r="K96" s="999">
        <v>7431.44</v>
      </c>
      <c r="L96" s="612">
        <f>'통장내역(환율표)'!$D$246</f>
        <v>7.3190999922785887</v>
      </c>
      <c r="M96" s="1062">
        <f t="shared" si="16"/>
        <v>1015.3488827642642</v>
      </c>
      <c r="N96" s="1009">
        <f t="shared" si="14"/>
        <v>108807.14000000025</v>
      </c>
      <c r="O96" s="1009">
        <f t="shared" si="15"/>
        <v>14869.822211961753</v>
      </c>
      <c r="P96" s="992" t="s">
        <v>1129</v>
      </c>
      <c r="Q96" s="713"/>
      <c r="R96" s="713" t="s">
        <v>902</v>
      </c>
      <c r="S96" s="963">
        <f t="shared" si="10"/>
        <v>14869.821149708787</v>
      </c>
    </row>
    <row r="97" spans="2:19" ht="11.25" customHeight="1">
      <c r="B97" s="639">
        <v>45680</v>
      </c>
      <c r="C97" s="1046" t="s">
        <v>899</v>
      </c>
      <c r="D97" s="1002"/>
      <c r="E97" s="998">
        <v>48</v>
      </c>
      <c r="F97" s="640" t="s">
        <v>107</v>
      </c>
      <c r="G97" s="640"/>
      <c r="H97" s="640"/>
      <c r="I97" s="640"/>
      <c r="J97" s="640"/>
      <c r="K97" s="999">
        <v>300</v>
      </c>
      <c r="L97" s="612">
        <f>'통장내역(환율표)'!$D$246</f>
        <v>7.3190999922785887</v>
      </c>
      <c r="M97" s="1062">
        <f t="shared" si="16"/>
        <v>40.988646188259516</v>
      </c>
      <c r="N97" s="1009">
        <f t="shared" si="14"/>
        <v>108507.14000000025</v>
      </c>
      <c r="O97" s="1009">
        <f t="shared" si="15"/>
        <v>14828.833565773493</v>
      </c>
      <c r="P97" s="992" t="s">
        <v>1129</v>
      </c>
      <c r="Q97" s="713"/>
      <c r="R97" s="713" t="s">
        <v>902</v>
      </c>
      <c r="S97" s="963">
        <f t="shared" ref="S97:S103" si="17">S96-M97</f>
        <v>14828.832503520527</v>
      </c>
    </row>
    <row r="98" spans="2:19" ht="11.25" customHeight="1">
      <c r="B98" s="639">
        <v>45680</v>
      </c>
      <c r="C98" s="1046" t="s">
        <v>898</v>
      </c>
      <c r="D98" s="1002"/>
      <c r="E98" s="998">
        <v>48</v>
      </c>
      <c r="F98" s="640" t="s">
        <v>107</v>
      </c>
      <c r="G98" s="640"/>
      <c r="H98" s="640"/>
      <c r="I98" s="640"/>
      <c r="J98" s="640"/>
      <c r="K98" s="999">
        <v>21300</v>
      </c>
      <c r="L98" s="612">
        <f>'통장내역(환율표)'!$D$246</f>
        <v>7.3190999922785887</v>
      </c>
      <c r="M98" s="1062">
        <f t="shared" si="16"/>
        <v>2910.1938793664253</v>
      </c>
      <c r="N98" s="1009">
        <f t="shared" si="14"/>
        <v>87207.140000000247</v>
      </c>
      <c r="O98" s="1009">
        <f t="shared" si="15"/>
        <v>11918.639686407068</v>
      </c>
      <c r="P98" s="992" t="s">
        <v>1129</v>
      </c>
      <c r="Q98" s="713"/>
      <c r="R98" s="713" t="s">
        <v>1422</v>
      </c>
      <c r="S98" s="963">
        <f t="shared" si="17"/>
        <v>11918.638624154102</v>
      </c>
    </row>
    <row r="99" spans="2:19" ht="11.25" customHeight="1">
      <c r="B99" s="639">
        <v>45680</v>
      </c>
      <c r="C99" s="1046" t="s">
        <v>1118</v>
      </c>
      <c r="D99" s="1002"/>
      <c r="E99" s="998">
        <v>48</v>
      </c>
      <c r="F99" s="640" t="s">
        <v>107</v>
      </c>
      <c r="G99" s="640"/>
      <c r="H99" s="640"/>
      <c r="I99" s="640"/>
      <c r="J99" s="640"/>
      <c r="K99" s="999">
        <v>2500</v>
      </c>
      <c r="L99" s="612">
        <f>'통장내역(환율표)'!$D$246</f>
        <v>7.3190999922785887</v>
      </c>
      <c r="M99" s="1062">
        <f t="shared" si="16"/>
        <v>341.57205156882929</v>
      </c>
      <c r="N99" s="1009">
        <f t="shared" si="14"/>
        <v>84707.140000000247</v>
      </c>
      <c r="O99" s="1009">
        <f t="shared" si="15"/>
        <v>11577.067634838239</v>
      </c>
      <c r="P99" s="992" t="s">
        <v>1129</v>
      </c>
      <c r="Q99" s="713"/>
      <c r="R99" s="713" t="s">
        <v>1422</v>
      </c>
      <c r="S99" s="963">
        <f t="shared" si="17"/>
        <v>11577.066572585272</v>
      </c>
    </row>
    <row r="100" spans="2:19" ht="11.25" customHeight="1">
      <c r="B100" s="639">
        <v>45680</v>
      </c>
      <c r="C100" s="1046" t="s">
        <v>948</v>
      </c>
      <c r="D100" s="1002"/>
      <c r="E100" s="998">
        <v>48</v>
      </c>
      <c r="F100" s="640" t="s">
        <v>107</v>
      </c>
      <c r="G100" s="640"/>
      <c r="H100" s="640"/>
      <c r="I100" s="640"/>
      <c r="J100" s="640"/>
      <c r="K100" s="999">
        <v>5941.29</v>
      </c>
      <c r="L100" s="612">
        <f>'통장내역(환율표)'!$D$246</f>
        <v>7.3190999922785887</v>
      </c>
      <c r="M100" s="1062">
        <f t="shared" si="16"/>
        <v>811.75144570614782</v>
      </c>
      <c r="N100" s="1009">
        <f t="shared" si="14"/>
        <v>78765.850000000253</v>
      </c>
      <c r="O100" s="1009">
        <f t="shared" si="15"/>
        <v>10765.316189132091</v>
      </c>
      <c r="P100" s="992" t="s">
        <v>1129</v>
      </c>
      <c r="Q100" s="713"/>
      <c r="R100" s="713" t="s">
        <v>1422</v>
      </c>
      <c r="S100" s="963">
        <f t="shared" si="17"/>
        <v>10765.315126879124</v>
      </c>
    </row>
    <row r="101" spans="2:19" ht="11.25" customHeight="1">
      <c r="B101" s="639">
        <v>45680</v>
      </c>
      <c r="C101" s="1046" t="s">
        <v>899</v>
      </c>
      <c r="D101" s="1002"/>
      <c r="E101" s="998">
        <v>48</v>
      </c>
      <c r="F101" s="640" t="s">
        <v>107</v>
      </c>
      <c r="G101" s="640"/>
      <c r="H101" s="640"/>
      <c r="I101" s="640"/>
      <c r="J101" s="640"/>
      <c r="K101" s="999">
        <v>300</v>
      </c>
      <c r="L101" s="612">
        <f>'통장내역(환율표)'!$D$246</f>
        <v>7.3190999922785887</v>
      </c>
      <c r="M101" s="1062">
        <f t="shared" si="16"/>
        <v>40.988646188259516</v>
      </c>
      <c r="N101" s="1009">
        <f t="shared" si="14"/>
        <v>78465.850000000253</v>
      </c>
      <c r="O101" s="1009">
        <f t="shared" si="15"/>
        <v>10724.327542943831</v>
      </c>
      <c r="P101" s="992" t="s">
        <v>1129</v>
      </c>
      <c r="Q101" s="713"/>
      <c r="R101" s="713" t="s">
        <v>1422</v>
      </c>
      <c r="S101" s="963">
        <f t="shared" si="17"/>
        <v>10724.326480690865</v>
      </c>
    </row>
    <row r="102" spans="2:19" ht="11.25" customHeight="1">
      <c r="B102" s="639">
        <v>45680</v>
      </c>
      <c r="C102" s="1046" t="s">
        <v>992</v>
      </c>
      <c r="D102" s="1002"/>
      <c r="E102" s="998">
        <v>48</v>
      </c>
      <c r="F102" s="640" t="s">
        <v>107</v>
      </c>
      <c r="G102" s="640"/>
      <c r="H102" s="640"/>
      <c r="I102" s="640"/>
      <c r="J102" s="640"/>
      <c r="K102" s="999">
        <v>600</v>
      </c>
      <c r="L102" s="612">
        <f>'통장내역(환율표)'!$D$246</f>
        <v>7.3190999922785887</v>
      </c>
      <c r="M102" s="1062">
        <f t="shared" si="16"/>
        <v>81.977292376519031</v>
      </c>
      <c r="N102" s="1009">
        <f t="shared" si="14"/>
        <v>77865.850000000253</v>
      </c>
      <c r="O102" s="1009">
        <f t="shared" si="15"/>
        <v>10642.350250567311</v>
      </c>
      <c r="P102" s="992" t="s">
        <v>1129</v>
      </c>
      <c r="Q102" s="713"/>
      <c r="R102" s="713" t="s">
        <v>1422</v>
      </c>
      <c r="S102" s="963">
        <f t="shared" si="17"/>
        <v>10642.349188314345</v>
      </c>
    </row>
    <row r="103" spans="2:19" ht="11.25" customHeight="1">
      <c r="B103" s="639">
        <v>45680</v>
      </c>
      <c r="C103" s="997" t="s">
        <v>250</v>
      </c>
      <c r="D103" s="1002"/>
      <c r="E103" s="998">
        <v>49</v>
      </c>
      <c r="F103" s="640" t="s">
        <v>107</v>
      </c>
      <c r="G103" s="640"/>
      <c r="H103" s="640"/>
      <c r="I103" s="640"/>
      <c r="J103" s="640"/>
      <c r="K103" s="999">
        <v>12</v>
      </c>
      <c r="L103" s="612">
        <f>'통장내역(환율표)'!$D$246</f>
        <v>7.3190999922785887</v>
      </c>
      <c r="M103" s="1062">
        <f t="shared" si="16"/>
        <v>1.6395458475303806</v>
      </c>
      <c r="N103" s="1009">
        <f t="shared" si="14"/>
        <v>77853.850000000253</v>
      </c>
      <c r="O103" s="1009">
        <f t="shared" si="15"/>
        <v>10640.710704719781</v>
      </c>
      <c r="P103" s="992" t="s">
        <v>1129</v>
      </c>
      <c r="Q103" s="713"/>
      <c r="R103" s="713"/>
      <c r="S103" s="963">
        <f t="shared" si="17"/>
        <v>10640.709642466814</v>
      </c>
    </row>
    <row r="104" spans="2:19" ht="11.25" customHeight="1">
      <c r="B104" s="1107">
        <v>45682</v>
      </c>
      <c r="C104" s="1108" t="s">
        <v>834</v>
      </c>
      <c r="D104" s="1109"/>
      <c r="E104" s="1110">
        <v>50</v>
      </c>
      <c r="F104" s="1111" t="s">
        <v>107</v>
      </c>
      <c r="G104" s="1111"/>
      <c r="H104" s="1111">
        <v>56133.42</v>
      </c>
      <c r="I104" s="1111"/>
      <c r="J104" s="1118">
        <v>7802</v>
      </c>
      <c r="K104" s="1112"/>
      <c r="L104" s="1113"/>
      <c r="M104" s="1114"/>
      <c r="N104" s="1114">
        <f t="shared" si="14"/>
        <v>133987.27000000025</v>
      </c>
      <c r="O104" s="1114">
        <f t="shared" si="15"/>
        <v>18442.710704719779</v>
      </c>
      <c r="P104" s="1115" t="s">
        <v>1436</v>
      </c>
      <c r="Q104" s="1116"/>
      <c r="R104" s="1116"/>
      <c r="S104" s="963"/>
    </row>
    <row r="105" spans="2:19" ht="11.25" customHeight="1">
      <c r="B105" s="1107">
        <v>45682</v>
      </c>
      <c r="C105" s="1108" t="s">
        <v>834</v>
      </c>
      <c r="D105" s="1109"/>
      <c r="E105" s="1110">
        <v>50</v>
      </c>
      <c r="F105" s="1111" t="s">
        <v>107</v>
      </c>
      <c r="G105" s="1111"/>
      <c r="H105" s="1111"/>
      <c r="I105" s="1111"/>
      <c r="J105" s="1111"/>
      <c r="K105" s="1112"/>
      <c r="L105" s="1113"/>
      <c r="M105" s="1114">
        <v>36</v>
      </c>
      <c r="N105" s="1114">
        <f t="shared" si="14"/>
        <v>133987.27000000025</v>
      </c>
      <c r="O105" s="1114">
        <f t="shared" si="15"/>
        <v>18406.710704719779</v>
      </c>
      <c r="P105" s="1115" t="s">
        <v>1436</v>
      </c>
      <c r="Q105" s="1116"/>
      <c r="R105" s="1116"/>
      <c r="S105" s="963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6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31" customWidth="1"/>
    <col min="4" max="4" width="9.75" style="531" customWidth="1"/>
    <col min="5" max="5" width="12.125" style="531" customWidth="1"/>
    <col min="6" max="6" width="11.12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559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1448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1423</v>
      </c>
      <c r="C3" s="547"/>
      <c r="D3" s="547"/>
      <c r="E3" s="547"/>
      <c r="F3" s="1064">
        <v>1458.2</v>
      </c>
      <c r="G3" s="550"/>
      <c r="H3" s="546" t="s">
        <v>1438</v>
      </c>
      <c r="I3" s="547"/>
      <c r="K3" s="548"/>
      <c r="L3" s="1064">
        <v>1434.3</v>
      </c>
      <c r="N3" s="546" t="s">
        <v>1447</v>
      </c>
      <c r="O3" s="547"/>
      <c r="Q3" s="548"/>
      <c r="R3" s="1064">
        <v>1447.4</v>
      </c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13162.8</v>
      </c>
      <c r="E5" s="566">
        <v>1798.42</v>
      </c>
      <c r="F5" s="567">
        <f>ROUND(E5*$F$3,0)</f>
        <v>2622456</v>
      </c>
      <c r="G5" s="568"/>
      <c r="H5" s="569" t="s">
        <v>11</v>
      </c>
      <c r="I5" s="569" t="s">
        <v>12</v>
      </c>
      <c r="J5" s="766">
        <v>3415.36</v>
      </c>
      <c r="K5" s="766">
        <v>472.51</v>
      </c>
      <c r="L5" s="723">
        <f>ROUND(K5*$L$3,0)</f>
        <v>677721</v>
      </c>
      <c r="M5" s="970">
        <f>L5+F5</f>
        <v>3300177</v>
      </c>
      <c r="N5" s="569" t="s">
        <v>11</v>
      </c>
      <c r="O5" s="569" t="s">
        <v>12</v>
      </c>
      <c r="P5" s="766"/>
      <c r="Q5" s="766"/>
      <c r="R5" s="723">
        <f t="shared" ref="R5:R12" si="0">ROUND(Q5*$R$3,0)</f>
        <v>0</v>
      </c>
      <c r="S5" s="1117">
        <f>F5+L5+R5</f>
        <v>3300177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7210.07</v>
      </c>
      <c r="E6" s="570">
        <v>985.1</v>
      </c>
      <c r="F6" s="567">
        <f t="shared" ref="F6:F12" si="1">ROUND(E6*$F$3,0)</f>
        <v>1436473</v>
      </c>
      <c r="G6" s="572"/>
      <c r="H6" s="569" t="s">
        <v>13</v>
      </c>
      <c r="I6" s="569" t="s">
        <v>14</v>
      </c>
      <c r="J6" s="766">
        <v>7124.78</v>
      </c>
      <c r="K6" s="766">
        <v>985.71</v>
      </c>
      <c r="L6" s="723">
        <f t="shared" ref="L6:L12" si="2">ROUND(K6*$L$3,0)</f>
        <v>1413804</v>
      </c>
      <c r="M6" s="970">
        <f t="shared" ref="M6:M13" si="3">L6+F6</f>
        <v>2850277</v>
      </c>
      <c r="N6" s="569" t="s">
        <v>13</v>
      </c>
      <c r="O6" s="569" t="s">
        <v>14</v>
      </c>
      <c r="P6" s="766"/>
      <c r="Q6" s="766"/>
      <c r="R6" s="723">
        <f t="shared" si="0"/>
        <v>0</v>
      </c>
      <c r="S6" s="1117">
        <f t="shared" ref="S6:S12" si="4">F6+L6+R6</f>
        <v>2850277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24224</v>
      </c>
      <c r="E7" s="570">
        <v>3309.7</v>
      </c>
      <c r="F7" s="567">
        <f t="shared" si="1"/>
        <v>4826205</v>
      </c>
      <c r="G7" s="573"/>
      <c r="H7" s="569" t="s">
        <v>15</v>
      </c>
      <c r="I7" s="569" t="s">
        <v>1064</v>
      </c>
      <c r="J7" s="767"/>
      <c r="K7" s="767"/>
      <c r="L7" s="723">
        <f t="shared" si="2"/>
        <v>0</v>
      </c>
      <c r="M7" s="970">
        <f t="shared" si="3"/>
        <v>4826205</v>
      </c>
      <c r="N7" s="569" t="s">
        <v>15</v>
      </c>
      <c r="O7" s="569" t="s">
        <v>1064</v>
      </c>
      <c r="P7" s="767"/>
      <c r="Q7" s="767"/>
      <c r="R7" s="723">
        <f t="shared" si="0"/>
        <v>0</v>
      </c>
      <c r="S7" s="1117">
        <f t="shared" si="4"/>
        <v>4826205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2391</v>
      </c>
      <c r="F8" s="567">
        <f t="shared" si="1"/>
        <v>3486556</v>
      </c>
      <c r="G8" s="573"/>
      <c r="H8" s="569" t="s">
        <v>15</v>
      </c>
      <c r="I8" s="564" t="s">
        <v>17</v>
      </c>
      <c r="J8" s="767"/>
      <c r="K8" s="767"/>
      <c r="L8" s="723">
        <f t="shared" si="2"/>
        <v>0</v>
      </c>
      <c r="M8" s="970">
        <f t="shared" si="3"/>
        <v>3486556</v>
      </c>
      <c r="N8" s="569" t="s">
        <v>15</v>
      </c>
      <c r="O8" s="1140" t="s">
        <v>17</v>
      </c>
      <c r="P8" s="767"/>
      <c r="Q8" s="767"/>
      <c r="R8" s="1141">
        <f t="shared" si="0"/>
        <v>0</v>
      </c>
      <c r="S8" s="1117">
        <f t="shared" si="4"/>
        <v>3486556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1155.8000000000002</v>
      </c>
      <c r="E9" s="570">
        <v>157.91999999999999</v>
      </c>
      <c r="F9" s="567">
        <f t="shared" si="1"/>
        <v>230279</v>
      </c>
      <c r="G9" s="574"/>
      <c r="H9" s="569" t="s">
        <v>19</v>
      </c>
      <c r="I9" s="564" t="s">
        <v>20</v>
      </c>
      <c r="J9" s="766">
        <v>93.06</v>
      </c>
      <c r="K9" s="766">
        <v>12.87</v>
      </c>
      <c r="L9" s="723">
        <f t="shared" si="2"/>
        <v>18459</v>
      </c>
      <c r="M9" s="970">
        <f t="shared" si="3"/>
        <v>248738</v>
      </c>
      <c r="N9" s="569" t="s">
        <v>19</v>
      </c>
      <c r="O9" s="1140" t="s">
        <v>20</v>
      </c>
      <c r="P9" s="766"/>
      <c r="Q9" s="766"/>
      <c r="R9" s="1141">
        <f t="shared" si="0"/>
        <v>0</v>
      </c>
      <c r="S9" s="1117">
        <f t="shared" si="4"/>
        <v>248738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14627.750000000002</v>
      </c>
      <c r="E10" s="570">
        <v>1998.57</v>
      </c>
      <c r="F10" s="567">
        <f t="shared" si="1"/>
        <v>2914315</v>
      </c>
      <c r="G10" s="575"/>
      <c r="H10" s="569" t="s">
        <v>21</v>
      </c>
      <c r="I10" s="569"/>
      <c r="J10" s="766">
        <v>45500.22</v>
      </c>
      <c r="K10" s="766">
        <v>6294.91</v>
      </c>
      <c r="L10" s="723">
        <f t="shared" si="2"/>
        <v>9028789</v>
      </c>
      <c r="M10" s="970">
        <f t="shared" si="3"/>
        <v>11943104</v>
      </c>
      <c r="N10" s="569" t="s">
        <v>21</v>
      </c>
      <c r="O10" s="1142"/>
      <c r="P10" s="766">
        <v>167290.76</v>
      </c>
      <c r="Q10" s="766">
        <v>22984.82</v>
      </c>
      <c r="R10" s="1141">
        <f t="shared" si="0"/>
        <v>33268228</v>
      </c>
      <c r="S10" s="1117">
        <f t="shared" si="4"/>
        <v>45211332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1"/>
        <v>0</v>
      </c>
      <c r="G11" s="580">
        <f>G13/G12</f>
        <v>1450.1752261687823</v>
      </c>
      <c r="H11" s="577" t="s">
        <v>1066</v>
      </c>
      <c r="I11" s="577" t="s">
        <v>1294</v>
      </c>
      <c r="J11" s="581"/>
      <c r="K11" s="935"/>
      <c r="L11" s="934">
        <f t="shared" si="2"/>
        <v>0</v>
      </c>
      <c r="M11" s="970">
        <f t="shared" si="3"/>
        <v>0</v>
      </c>
      <c r="N11" s="577" t="s">
        <v>1066</v>
      </c>
      <c r="O11" s="1143" t="s">
        <v>1294</v>
      </c>
      <c r="P11" s="1144">
        <v>56779</v>
      </c>
      <c r="Q11" s="1144">
        <v>7783.81</v>
      </c>
      <c r="R11" s="1145">
        <f t="shared" si="0"/>
        <v>11266287</v>
      </c>
      <c r="S11" s="1117">
        <f t="shared" si="4"/>
        <v>11266287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1"/>
        <v>0</v>
      </c>
      <c r="G12" s="582">
        <f>E13+Q13+AB13</f>
        <v>41409.339999999997</v>
      </c>
      <c r="H12" s="569" t="s">
        <v>1068</v>
      </c>
      <c r="I12" s="569" t="s">
        <v>1069</v>
      </c>
      <c r="J12" s="565"/>
      <c r="K12" s="570"/>
      <c r="L12" s="723">
        <f t="shared" si="2"/>
        <v>0</v>
      </c>
      <c r="M12" s="970">
        <f t="shared" si="3"/>
        <v>0</v>
      </c>
      <c r="N12" s="569" t="s">
        <v>1068</v>
      </c>
      <c r="O12" s="1142" t="s">
        <v>1069</v>
      </c>
      <c r="P12" s="1146"/>
      <c r="Q12" s="766"/>
      <c r="R12" s="1141">
        <f t="shared" si="0"/>
        <v>0</v>
      </c>
      <c r="S12" s="1117">
        <f t="shared" si="4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77880.42</v>
      </c>
      <c r="E13" s="585">
        <f>SUM(E5:E11)-E12</f>
        <v>10640.71</v>
      </c>
      <c r="F13" s="950">
        <f>SUM(F5:F11)-F12</f>
        <v>15516284</v>
      </c>
      <c r="G13" s="588">
        <f>F13+R13+AC13</f>
        <v>60050799</v>
      </c>
      <c r="H13" s="948" t="s">
        <v>22</v>
      </c>
      <c r="I13" s="949"/>
      <c r="J13" s="585">
        <f>SUM(J5:J11)-J12</f>
        <v>56133.42</v>
      </c>
      <c r="K13" s="585">
        <f>SUM(K5:K11)-K12</f>
        <v>7766</v>
      </c>
      <c r="L13" s="950">
        <f>SUM(L5:L11)-L12</f>
        <v>11138773</v>
      </c>
      <c r="M13" s="970">
        <f t="shared" si="3"/>
        <v>26655057</v>
      </c>
      <c r="N13" s="948" t="s">
        <v>22</v>
      </c>
      <c r="O13" s="949"/>
      <c r="P13" s="585">
        <f>SUM(P5:P11)-P12</f>
        <v>224069.76000000001</v>
      </c>
      <c r="Q13" s="585">
        <f>SUM(Q5:Q11)-Q12</f>
        <v>30768.63</v>
      </c>
      <c r="R13" s="950">
        <f>SUM(R5:R11)-R12</f>
        <v>44534515</v>
      </c>
      <c r="S13" s="1117">
        <f>F13+L13+R13</f>
        <v>71189572</v>
      </c>
      <c r="U13" s="930"/>
      <c r="X13" s="924">
        <f>F13+R13</f>
        <v>60050799</v>
      </c>
      <c r="Y13" s="956"/>
      <c r="Z13" s="971"/>
      <c r="AB13" s="596"/>
    </row>
    <row r="14" spans="1:29" ht="14.25" customHeight="1">
      <c r="A14" s="519"/>
      <c r="C14" s="590"/>
      <c r="D14" s="816">
        <f>SUM(D7:D10)</f>
        <v>57507.55</v>
      </c>
      <c r="E14" s="816">
        <f>SUM(E7:E10)</f>
        <v>7857.19</v>
      </c>
      <c r="F14" s="816">
        <f>SUM(F7:F10)</f>
        <v>11457355</v>
      </c>
      <c r="G14" s="594"/>
      <c r="J14" s="1010">
        <f>J13+D13+P13</f>
        <v>358083.6</v>
      </c>
      <c r="K14" s="1010">
        <f>K13+E13+Q13</f>
        <v>49175.34</v>
      </c>
      <c r="L14" s="985">
        <f>L13+F13+R13</f>
        <v>71189572</v>
      </c>
      <c r="M14" s="945">
        <f>M16-E12</f>
        <v>49175.340838405995</v>
      </c>
      <c r="O14" s="595"/>
      <c r="P14" s="924">
        <f>P13+D13+J13</f>
        <v>358083.6</v>
      </c>
      <c r="Q14" s="924">
        <f>Q13+E13+K13</f>
        <v>49175.34</v>
      </c>
      <c r="R14" s="925">
        <f>R13+F13+L13</f>
        <v>71189572</v>
      </c>
      <c r="X14" s="595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K16-H95</f>
        <v>358083.6</v>
      </c>
      <c r="L15" s="945"/>
      <c r="M15" s="945">
        <f>M16-J95</f>
        <v>49175.340838405995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C16" s="590"/>
      <c r="D16" s="590"/>
      <c r="E16" s="593"/>
      <c r="F16" s="593"/>
      <c r="G16" s="594"/>
      <c r="I16" s="595"/>
      <c r="J16" s="596"/>
      <c r="K16" s="1089">
        <f>SUBTOTAL(9,K19:K97)</f>
        <v>358083.6</v>
      </c>
      <c r="L16" s="1090"/>
      <c r="M16" s="1089">
        <f>SUBTOTAL(9,M19:M97)</f>
        <v>49175.340838405995</v>
      </c>
      <c r="N16" s="595"/>
      <c r="Q16" s="595"/>
    </row>
    <row r="17" spans="1:29" ht="11.25" customHeight="1">
      <c r="A17" s="519"/>
      <c r="B17" s="1119" t="s">
        <v>24</v>
      </c>
      <c r="C17" s="1120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1" t="s">
        <v>29</v>
      </c>
      <c r="I17" s="1531"/>
      <c r="J17" s="1531"/>
      <c r="K17" s="1531" t="s">
        <v>30</v>
      </c>
      <c r="L17" s="1531"/>
      <c r="M17" s="1532"/>
      <c r="N17" s="1533" t="s">
        <v>31</v>
      </c>
      <c r="O17" s="1533"/>
      <c r="P17" s="1534"/>
      <c r="Q17" s="1534"/>
      <c r="R17" s="1122" t="s">
        <v>1071</v>
      </c>
    </row>
    <row r="18" spans="1:29" ht="11.25" customHeight="1">
      <c r="A18" s="519"/>
      <c r="B18" s="1123" t="s">
        <v>1072</v>
      </c>
      <c r="C18" s="1124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27" t="s">
        <v>34</v>
      </c>
      <c r="N18" s="1129" t="s">
        <v>1078</v>
      </c>
      <c r="O18" s="1129" t="s">
        <v>34</v>
      </c>
      <c r="P18" s="1535" t="s">
        <v>32</v>
      </c>
      <c r="Q18" s="1535"/>
      <c r="R18" s="1126" t="s">
        <v>1071</v>
      </c>
    </row>
    <row r="19" spans="1:29" ht="11.25" customHeight="1">
      <c r="B19" s="729">
        <v>45688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133987.27000000025</v>
      </c>
      <c r="O19" s="988">
        <v>18406.710704719779</v>
      </c>
      <c r="P19" s="989"/>
      <c r="Q19" s="732"/>
      <c r="R19" s="737"/>
      <c r="S19" s="926">
        <v>10640.709642466814</v>
      </c>
    </row>
    <row r="20" spans="1:29" s="645" customFormat="1" ht="12" customHeight="1">
      <c r="A20" s="614"/>
      <c r="B20" s="1135">
        <v>45699</v>
      </c>
      <c r="C20" s="1130" t="s">
        <v>823</v>
      </c>
      <c r="D20" s="1130"/>
      <c r="E20" s="1131">
        <v>1</v>
      </c>
      <c r="F20" s="1131"/>
      <c r="G20" s="1099"/>
      <c r="H20" s="1100">
        <v>324926.21000000002</v>
      </c>
      <c r="I20" s="1101"/>
      <c r="J20" s="1100">
        <v>44595</v>
      </c>
      <c r="K20" s="1102"/>
      <c r="L20" s="1103"/>
      <c r="M20" s="1062"/>
      <c r="N20" s="1062">
        <f>N19+H20-K20</f>
        <v>458913.48000000027</v>
      </c>
      <c r="O20" s="1062">
        <f>O19+J20-M20</f>
        <v>63001.710704719779</v>
      </c>
      <c r="P20" s="1104"/>
      <c r="Q20" s="1105"/>
      <c r="R20" s="1105"/>
      <c r="S20" s="963">
        <f>S19-M20</f>
        <v>10640.709642466814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095"/>
      <c r="C21" s="1096" t="s">
        <v>250</v>
      </c>
      <c r="D21" s="1130"/>
      <c r="E21" s="1132"/>
      <c r="F21" s="1132" t="s">
        <v>107</v>
      </c>
      <c r="G21" s="1099"/>
      <c r="H21" s="1100"/>
      <c r="I21" s="1101"/>
      <c r="J21" s="1100"/>
      <c r="K21" s="1102"/>
      <c r="L21" s="1103"/>
      <c r="M21" s="1012">
        <v>51</v>
      </c>
      <c r="N21" s="1062">
        <f t="shared" ref="N21:N84" si="5">N20+H21-K21</f>
        <v>458913.48000000027</v>
      </c>
      <c r="O21" s="1062">
        <f t="shared" ref="O21:O84" si="6">O20+J21-M21</f>
        <v>62950.710704719779</v>
      </c>
      <c r="P21" s="1104" t="s">
        <v>1146</v>
      </c>
      <c r="Q21" s="1105"/>
      <c r="R21" s="110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45702</v>
      </c>
      <c r="C22" s="997" t="s">
        <v>1375</v>
      </c>
      <c r="D22" s="1003"/>
      <c r="E22" s="998">
        <v>2</v>
      </c>
      <c r="F22" s="1133" t="s">
        <v>105</v>
      </c>
      <c r="G22" s="640" t="s">
        <v>1131</v>
      </c>
      <c r="H22" s="1067"/>
      <c r="I22" s="1049"/>
      <c r="J22" s="1067"/>
      <c r="K22" s="999">
        <v>24224</v>
      </c>
      <c r="L22" s="612">
        <f>'통장내역(환율표)'!$D$246</f>
        <v>7.3190999922785887</v>
      </c>
      <c r="M22" s="991">
        <f>K22/L22</f>
        <v>3309.6965508813282</v>
      </c>
      <c r="N22" s="1009">
        <f t="shared" si="5"/>
        <v>434689.48000000027</v>
      </c>
      <c r="O22" s="1009">
        <f t="shared" si="6"/>
        <v>59641.014153838449</v>
      </c>
      <c r="P22" s="992" t="s">
        <v>1129</v>
      </c>
      <c r="Q22" s="713"/>
      <c r="R22" s="713"/>
      <c r="S22" s="963">
        <f>S20-M22</f>
        <v>7331.0130915854861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45702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'통장내역(환율표)'!$D$246</f>
        <v>7.3190999922785887</v>
      </c>
      <c r="M23" s="991">
        <f>K23/L23</f>
        <v>0.98372750851822832</v>
      </c>
      <c r="N23" s="1009">
        <f t="shared" si="5"/>
        <v>434682.28000000026</v>
      </c>
      <c r="O23" s="1009">
        <f t="shared" si="6"/>
        <v>59640.030426329933</v>
      </c>
      <c r="P23" s="992" t="s">
        <v>1129</v>
      </c>
      <c r="Q23" s="713"/>
      <c r="R23" s="713"/>
      <c r="S23" s="963">
        <f>S22-M23</f>
        <v>7330.0293640769678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1136">
        <v>45702</v>
      </c>
      <c r="C24" s="997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999">
        <v>1600</v>
      </c>
      <c r="L24" s="612">
        <f>'통장내역(환율표)'!$D$246</f>
        <v>7.3190999922785887</v>
      </c>
      <c r="M24" s="991">
        <f>K24/L24</f>
        <v>218.60611300405074</v>
      </c>
      <c r="N24" s="1009">
        <f t="shared" si="5"/>
        <v>433082.28000000026</v>
      </c>
      <c r="O24" s="1009">
        <f t="shared" si="6"/>
        <v>59421.424313325879</v>
      </c>
      <c r="P24" s="992" t="s">
        <v>1129</v>
      </c>
      <c r="Q24" s="713"/>
      <c r="R24" s="713"/>
      <c r="S24" s="963">
        <f t="shared" ref="S24:S43" si="7">S23-M24</f>
        <v>7111.4232510729171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1136">
        <v>45702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'통장내역(환율표)'!$D$246</f>
        <v>7.3190999922785887</v>
      </c>
      <c r="M25" s="991">
        <f>K25/L25</f>
        <v>0.49186375425911416</v>
      </c>
      <c r="N25" s="1009">
        <f t="shared" si="5"/>
        <v>433078.68000000028</v>
      </c>
      <c r="O25" s="1009">
        <f t="shared" si="6"/>
        <v>59420.932449571621</v>
      </c>
      <c r="P25" s="992" t="s">
        <v>1129</v>
      </c>
      <c r="Q25" s="713"/>
      <c r="R25" s="713"/>
      <c r="S25" s="963">
        <f t="shared" si="7"/>
        <v>7110.9313873186584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45708</v>
      </c>
      <c r="C26" s="997" t="s">
        <v>242</v>
      </c>
      <c r="D26" s="1003"/>
      <c r="E26" s="998">
        <v>6</v>
      </c>
      <c r="F26" s="1133" t="s">
        <v>107</v>
      </c>
      <c r="G26" s="640"/>
      <c r="H26" s="1067"/>
      <c r="I26" s="1049"/>
      <c r="J26" s="1067"/>
      <c r="K26" s="999">
        <v>1010</v>
      </c>
      <c r="L26" s="612">
        <f>'통장내역(환율표)'!$D$246</f>
        <v>7.3190999922785887</v>
      </c>
      <c r="M26" s="991">
        <f t="shared" ref="M26:M32" si="8">K26/L26</f>
        <v>137.99510883380702</v>
      </c>
      <c r="N26" s="1009">
        <f t="shared" si="5"/>
        <v>432068.68000000028</v>
      </c>
      <c r="O26" s="1009">
        <f t="shared" si="6"/>
        <v>59282.937340737815</v>
      </c>
      <c r="P26" s="992" t="s">
        <v>1129</v>
      </c>
      <c r="Q26" s="713"/>
      <c r="R26" s="713"/>
      <c r="S26" s="963">
        <f t="shared" si="7"/>
        <v>6972.9362784848518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45708</v>
      </c>
      <c r="C27" s="997" t="s">
        <v>250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999">
        <v>3.6</v>
      </c>
      <c r="L27" s="612">
        <f>'통장내역(환율표)'!$D$246</f>
        <v>7.3190999922785887</v>
      </c>
      <c r="M27" s="991">
        <f t="shared" si="8"/>
        <v>0.49186375425911416</v>
      </c>
      <c r="N27" s="1009">
        <f t="shared" si="5"/>
        <v>432065.08000000031</v>
      </c>
      <c r="O27" s="1009">
        <f t="shared" si="6"/>
        <v>59282.445476983557</v>
      </c>
      <c r="P27" s="992" t="s">
        <v>1129</v>
      </c>
      <c r="Q27" s="713"/>
      <c r="R27" s="713"/>
      <c r="S27" s="963">
        <f t="shared" si="7"/>
        <v>6972.4444147305931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45708</v>
      </c>
      <c r="C28" s="997" t="s">
        <v>305</v>
      </c>
      <c r="D28" s="1003"/>
      <c r="E28" s="1003">
        <v>8</v>
      </c>
      <c r="F28" s="1133" t="s">
        <v>105</v>
      </c>
      <c r="G28" s="640" t="s">
        <v>227</v>
      </c>
      <c r="H28" s="1004"/>
      <c r="I28" s="1069"/>
      <c r="J28" s="1069"/>
      <c r="K28" s="999">
        <v>10500</v>
      </c>
      <c r="L28" s="612">
        <f>'통장내역(환율표)'!$D$246</f>
        <v>7.3190999922785887</v>
      </c>
      <c r="M28" s="991">
        <f t="shared" si="8"/>
        <v>1434.602616589083</v>
      </c>
      <c r="N28" s="1009">
        <f t="shared" si="5"/>
        <v>421565.08000000031</v>
      </c>
      <c r="O28" s="1009">
        <f t="shared" si="6"/>
        <v>57847.842860394478</v>
      </c>
      <c r="P28" s="992" t="s">
        <v>1129</v>
      </c>
      <c r="Q28" s="713"/>
      <c r="R28" s="713"/>
      <c r="S28" s="963">
        <f t="shared" si="7"/>
        <v>5537.8417981415096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45708</v>
      </c>
      <c r="C29" s="997" t="s">
        <v>1116</v>
      </c>
      <c r="D29" s="1003"/>
      <c r="E29" s="1003">
        <v>8</v>
      </c>
      <c r="F29" s="1133" t="s">
        <v>107</v>
      </c>
      <c r="G29" s="640"/>
      <c r="H29" s="1004"/>
      <c r="I29" s="1069"/>
      <c r="J29" s="1069"/>
      <c r="K29" s="999">
        <v>6000</v>
      </c>
      <c r="L29" s="612">
        <f>'통장내역(환율표)'!$D$246</f>
        <v>7.3190999922785887</v>
      </c>
      <c r="M29" s="991">
        <f t="shared" si="8"/>
        <v>819.77292376519028</v>
      </c>
      <c r="N29" s="1009">
        <f t="shared" si="5"/>
        <v>415565.08000000031</v>
      </c>
      <c r="O29" s="1009">
        <f t="shared" si="6"/>
        <v>57028.06993662929</v>
      </c>
      <c r="P29" s="992" t="s">
        <v>1129</v>
      </c>
      <c r="Q29" s="713"/>
      <c r="R29" s="713"/>
      <c r="S29" s="963">
        <f t="shared" si="7"/>
        <v>4718.0688743763194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45708</v>
      </c>
      <c r="C30" s="997" t="s">
        <v>1117</v>
      </c>
      <c r="D30" s="1003"/>
      <c r="E30" s="1003">
        <v>8</v>
      </c>
      <c r="F30" s="1133" t="s">
        <v>107</v>
      </c>
      <c r="G30" s="640"/>
      <c r="H30" s="1004"/>
      <c r="I30" s="1069"/>
      <c r="J30" s="1069"/>
      <c r="K30" s="999">
        <v>680</v>
      </c>
      <c r="L30" s="612">
        <f>'통장내역(환율표)'!$D$246</f>
        <v>7.3190999922785887</v>
      </c>
      <c r="M30" s="991">
        <f t="shared" si="8"/>
        <v>92.907598026721558</v>
      </c>
      <c r="N30" s="1009">
        <f t="shared" si="5"/>
        <v>414885.08000000031</v>
      </c>
      <c r="O30" s="1009">
        <f t="shared" si="6"/>
        <v>56935.162338602568</v>
      </c>
      <c r="P30" s="992" t="s">
        <v>1129</v>
      </c>
      <c r="Q30" s="713"/>
      <c r="R30" s="713"/>
      <c r="S30" s="963">
        <f t="shared" si="7"/>
        <v>4625.1612763495978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45708</v>
      </c>
      <c r="C31" s="997" t="s">
        <v>305</v>
      </c>
      <c r="D31" s="1003"/>
      <c r="E31" s="1003">
        <v>8</v>
      </c>
      <c r="F31" s="1133" t="s">
        <v>105</v>
      </c>
      <c r="G31" s="640" t="s">
        <v>227</v>
      </c>
      <c r="H31" s="1004"/>
      <c r="I31" s="1069"/>
      <c r="J31" s="1069"/>
      <c r="K31" s="999">
        <v>7000</v>
      </c>
      <c r="L31" s="612">
        <f>'통장내역(환율표)'!$D$246</f>
        <v>7.3190999922785887</v>
      </c>
      <c r="M31" s="991">
        <f t="shared" si="8"/>
        <v>956.40174439272198</v>
      </c>
      <c r="N31" s="1009">
        <f t="shared" si="5"/>
        <v>407885.08000000031</v>
      </c>
      <c r="O31" s="1009">
        <f t="shared" si="6"/>
        <v>55978.760594209845</v>
      </c>
      <c r="P31" s="992" t="s">
        <v>1129</v>
      </c>
      <c r="Q31" s="713"/>
      <c r="R31" s="713"/>
      <c r="S31" s="963">
        <f t="shared" si="7"/>
        <v>3668.7595319568759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45708</v>
      </c>
      <c r="C32" s="997" t="s">
        <v>1116</v>
      </c>
      <c r="D32" s="1003"/>
      <c r="E32" s="1003">
        <v>8</v>
      </c>
      <c r="F32" s="1133" t="s">
        <v>107</v>
      </c>
      <c r="G32" s="640"/>
      <c r="H32" s="1004"/>
      <c r="I32" s="1069"/>
      <c r="J32" s="1069"/>
      <c r="K32" s="999">
        <v>6000</v>
      </c>
      <c r="L32" s="612">
        <f>'통장내역(환율표)'!$D$246</f>
        <v>7.3190999922785887</v>
      </c>
      <c r="M32" s="991">
        <f t="shared" si="8"/>
        <v>819.77292376519028</v>
      </c>
      <c r="N32" s="1009">
        <f t="shared" si="5"/>
        <v>401885.08000000031</v>
      </c>
      <c r="O32" s="1009">
        <f t="shared" si="6"/>
        <v>55158.987670444658</v>
      </c>
      <c r="P32" s="992" t="s">
        <v>1129</v>
      </c>
      <c r="Q32" s="713"/>
      <c r="R32" s="713"/>
      <c r="S32" s="963">
        <f t="shared" si="7"/>
        <v>2848.9866081916857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45708</v>
      </c>
      <c r="C33" s="997" t="s">
        <v>1117</v>
      </c>
      <c r="D33" s="1003"/>
      <c r="E33" s="1003">
        <v>8</v>
      </c>
      <c r="F33" s="1133" t="s">
        <v>107</v>
      </c>
      <c r="G33" s="640"/>
      <c r="H33" s="1004"/>
      <c r="I33" s="1069"/>
      <c r="J33" s="1069"/>
      <c r="K33" s="999">
        <v>230</v>
      </c>
      <c r="L33" s="612">
        <f>'통장내역(환율표)'!$D$246</f>
        <v>7.3190999922785887</v>
      </c>
      <c r="M33" s="991">
        <f>K33/L33</f>
        <v>31.424628744332292</v>
      </c>
      <c r="N33" s="1009">
        <f t="shared" si="5"/>
        <v>401655.08000000031</v>
      </c>
      <c r="O33" s="1009">
        <f t="shared" si="6"/>
        <v>55127.563041700327</v>
      </c>
      <c r="P33" s="992" t="s">
        <v>1129</v>
      </c>
      <c r="Q33" s="713"/>
      <c r="R33" s="713"/>
      <c r="S33" s="963">
        <f t="shared" si="7"/>
        <v>2817.5619794473532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45708</v>
      </c>
      <c r="C34" s="997" t="s">
        <v>250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7.2</v>
      </c>
      <c r="L34" s="612">
        <f>'통장내역(환율표)'!$D$246</f>
        <v>7.3190999922785887</v>
      </c>
      <c r="M34" s="991">
        <f>K34/L34</f>
        <v>0.98372750851822832</v>
      </c>
      <c r="N34" s="1009">
        <f t="shared" si="5"/>
        <v>401647.8800000003</v>
      </c>
      <c r="O34" s="1009">
        <f t="shared" si="6"/>
        <v>55126.579314191811</v>
      </c>
      <c r="P34" s="992" t="s">
        <v>1129</v>
      </c>
      <c r="Q34" s="713"/>
      <c r="R34" s="713"/>
      <c r="S34" s="963">
        <f t="shared" si="7"/>
        <v>2816.5782519388349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45708</v>
      </c>
      <c r="C35" s="997" t="s">
        <v>1440</v>
      </c>
      <c r="D35" s="1137"/>
      <c r="E35" s="1003">
        <v>10</v>
      </c>
      <c r="F35" s="998" t="s">
        <v>116</v>
      </c>
      <c r="G35" s="640" t="s">
        <v>140</v>
      </c>
      <c r="H35" s="1004"/>
      <c r="I35" s="1003"/>
      <c r="J35" s="1003"/>
      <c r="K35" s="999">
        <v>397.8</v>
      </c>
      <c r="L35" s="612">
        <f>'통장내역(환율표)'!$D$246</f>
        <v>7.3190999922785887</v>
      </c>
      <c r="M35" s="991">
        <f>K35/L35</f>
        <v>54.350944845632114</v>
      </c>
      <c r="N35" s="1009">
        <f t="shared" si="5"/>
        <v>401250.08000000031</v>
      </c>
      <c r="O35" s="1009">
        <f t="shared" si="6"/>
        <v>55072.22836934618</v>
      </c>
      <c r="P35" s="992" t="s">
        <v>1129</v>
      </c>
      <c r="Q35" s="713"/>
      <c r="R35" s="713"/>
      <c r="S35" s="963">
        <f t="shared" si="7"/>
        <v>2762.2273070932029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45708</v>
      </c>
      <c r="C36" s="997" t="s">
        <v>250</v>
      </c>
      <c r="D36" s="1137"/>
      <c r="E36" s="1003">
        <v>11</v>
      </c>
      <c r="F36" s="998" t="s">
        <v>107</v>
      </c>
      <c r="G36" s="640"/>
      <c r="H36" s="1004"/>
      <c r="I36" s="1003"/>
      <c r="J36" s="1003"/>
      <c r="K36" s="999">
        <v>3.6</v>
      </c>
      <c r="L36" s="612">
        <f>'통장내역(환율표)'!$D$246</f>
        <v>7.3190999922785887</v>
      </c>
      <c r="M36" s="991">
        <f>K36/L36</f>
        <v>0.49186375425911416</v>
      </c>
      <c r="N36" s="1009">
        <f t="shared" si="5"/>
        <v>401246.48000000033</v>
      </c>
      <c r="O36" s="1009">
        <f t="shared" si="6"/>
        <v>55071.736505591922</v>
      </c>
      <c r="P36" s="992" t="s">
        <v>1129</v>
      </c>
      <c r="Q36" s="713"/>
      <c r="R36" s="713"/>
      <c r="S36" s="963">
        <f t="shared" si="7"/>
        <v>2761.7354433389437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45708</v>
      </c>
      <c r="C37" s="997" t="s">
        <v>1165</v>
      </c>
      <c r="D37" s="1003"/>
      <c r="E37" s="998">
        <v>12</v>
      </c>
      <c r="F37" s="998" t="s">
        <v>146</v>
      </c>
      <c r="G37" s="640" t="s">
        <v>147</v>
      </c>
      <c r="H37" s="1004"/>
      <c r="I37" s="1003"/>
      <c r="J37" s="1003"/>
      <c r="K37" s="999">
        <v>1231.33</v>
      </c>
      <c r="L37" s="612">
        <f>'통장내역(환율표)'!$D$246</f>
        <v>7.3190999922785887</v>
      </c>
      <c r="M37" s="991">
        <f t="shared" ref="M37:M42" si="9">K37/L37</f>
        <v>168.23516570329861</v>
      </c>
      <c r="N37" s="1009">
        <f t="shared" si="5"/>
        <v>400015.15000000031</v>
      </c>
      <c r="O37" s="1009">
        <f t="shared" si="6"/>
        <v>54903.501339888622</v>
      </c>
      <c r="P37" s="992" t="s">
        <v>1129</v>
      </c>
      <c r="Q37" s="713"/>
      <c r="R37" s="713"/>
      <c r="S37" s="963">
        <f t="shared" si="7"/>
        <v>2593.500277635645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45708</v>
      </c>
      <c r="C38" s="997" t="s">
        <v>851</v>
      </c>
      <c r="D38" s="1003"/>
      <c r="E38" s="998">
        <v>13</v>
      </c>
      <c r="F38" s="998" t="s">
        <v>116</v>
      </c>
      <c r="G38" s="640" t="s">
        <v>140</v>
      </c>
      <c r="H38" s="1004"/>
      <c r="I38" s="1003"/>
      <c r="J38" s="1003"/>
      <c r="K38" s="999">
        <v>108.9</v>
      </c>
      <c r="L38" s="612">
        <f>'통장내역(환율표)'!$D$246</f>
        <v>7.3190999922785887</v>
      </c>
      <c r="M38" s="991">
        <f t="shared" si="9"/>
        <v>14.878878566338203</v>
      </c>
      <c r="N38" s="1009">
        <f t="shared" si="5"/>
        <v>399906.25000000029</v>
      </c>
      <c r="O38" s="1009">
        <f t="shared" si="6"/>
        <v>54888.622461322288</v>
      </c>
      <c r="P38" s="992" t="s">
        <v>1129</v>
      </c>
      <c r="Q38" s="713"/>
      <c r="R38" s="713"/>
      <c r="S38" s="963">
        <f t="shared" si="7"/>
        <v>2578.6213990693068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45708</v>
      </c>
      <c r="C39" s="997" t="s">
        <v>250</v>
      </c>
      <c r="D39" s="1003"/>
      <c r="E39" s="998">
        <v>14</v>
      </c>
      <c r="F39" s="99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991">
        <f t="shared" si="9"/>
        <v>0.49186375425911416</v>
      </c>
      <c r="N39" s="1009">
        <f t="shared" si="5"/>
        <v>399902.65000000031</v>
      </c>
      <c r="O39" s="1009">
        <f t="shared" si="6"/>
        <v>54888.13059756803</v>
      </c>
      <c r="P39" s="992" t="s">
        <v>1129</v>
      </c>
      <c r="Q39" s="713"/>
      <c r="R39" s="713"/>
      <c r="S39" s="963">
        <f t="shared" si="7"/>
        <v>2578.1295353150476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45708</v>
      </c>
      <c r="C40" s="997" t="s">
        <v>1017</v>
      </c>
      <c r="D40" s="1003"/>
      <c r="E40" s="998">
        <v>15</v>
      </c>
      <c r="F40" s="998" t="s">
        <v>146</v>
      </c>
      <c r="G40" s="640" t="s">
        <v>147</v>
      </c>
      <c r="H40" s="1004"/>
      <c r="I40" s="1003"/>
      <c r="J40" s="1003"/>
      <c r="K40" s="1138">
        <v>503.6</v>
      </c>
      <c r="L40" s="612">
        <f>'통장내역(환율표)'!$D$246</f>
        <v>7.3190999922785887</v>
      </c>
      <c r="M40" s="991">
        <f t="shared" si="9"/>
        <v>68.806274068024976</v>
      </c>
      <c r="N40" s="1009">
        <f t="shared" si="5"/>
        <v>399399.05000000034</v>
      </c>
      <c r="O40" s="1009">
        <f t="shared" si="6"/>
        <v>54819.324323500005</v>
      </c>
      <c r="P40" s="992" t="s">
        <v>1129</v>
      </c>
      <c r="Q40" s="713"/>
      <c r="R40" s="713"/>
      <c r="S40" s="963">
        <f t="shared" si="7"/>
        <v>2509.3232612470229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45708</v>
      </c>
      <c r="C41" s="997" t="s">
        <v>1398</v>
      </c>
      <c r="D41" s="1003"/>
      <c r="E41" s="998">
        <v>16</v>
      </c>
      <c r="F41" s="998" t="s">
        <v>146</v>
      </c>
      <c r="G41" s="640" t="s">
        <v>147</v>
      </c>
      <c r="H41" s="1004"/>
      <c r="I41" s="1003"/>
      <c r="J41" s="1003"/>
      <c r="K41" s="1138">
        <v>617.75</v>
      </c>
      <c r="L41" s="612">
        <f>'통장내역(환율표)'!$D$246</f>
        <v>7.3190999922785887</v>
      </c>
      <c r="M41" s="991">
        <f t="shared" si="9"/>
        <v>84.402453942657715</v>
      </c>
      <c r="N41" s="1009">
        <f t="shared" si="5"/>
        <v>398781.30000000034</v>
      </c>
      <c r="O41" s="1009">
        <f t="shared" si="6"/>
        <v>54734.921869557344</v>
      </c>
      <c r="P41" s="992" t="s">
        <v>1129</v>
      </c>
      <c r="Q41" s="713"/>
      <c r="R41" s="713"/>
      <c r="S41" s="963">
        <f t="shared" si="7"/>
        <v>2424.9208073043651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45708</v>
      </c>
      <c r="C42" s="997" t="s">
        <v>1020</v>
      </c>
      <c r="D42" s="1003"/>
      <c r="E42" s="998">
        <v>17</v>
      </c>
      <c r="F42" s="998" t="s">
        <v>116</v>
      </c>
      <c r="G42" s="640" t="s">
        <v>140</v>
      </c>
      <c r="H42" s="1004"/>
      <c r="I42" s="1003"/>
      <c r="J42" s="1003"/>
      <c r="K42" s="999">
        <v>350</v>
      </c>
      <c r="L42" s="612">
        <f>'통장내역(환율표)'!$D$246</f>
        <v>7.3190999922785887</v>
      </c>
      <c r="M42" s="991">
        <f t="shared" si="9"/>
        <v>47.8200872196361</v>
      </c>
      <c r="N42" s="1009">
        <f t="shared" si="5"/>
        <v>398431.30000000034</v>
      </c>
      <c r="O42" s="1009">
        <f t="shared" si="6"/>
        <v>54687.101782337704</v>
      </c>
      <c r="P42" s="992" t="s">
        <v>1129</v>
      </c>
      <c r="Q42" s="713"/>
      <c r="R42" s="713"/>
      <c r="S42" s="963">
        <f t="shared" si="7"/>
        <v>2377.1007200847289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45708</v>
      </c>
      <c r="C43" s="997" t="s">
        <v>1016</v>
      </c>
      <c r="D43" s="1003"/>
      <c r="E43" s="998">
        <v>18</v>
      </c>
      <c r="F43" s="998" t="s">
        <v>107</v>
      </c>
      <c r="G43" s="640"/>
      <c r="H43" s="1004"/>
      <c r="I43" s="1003"/>
      <c r="J43" s="1003"/>
      <c r="K43" s="1138">
        <v>133.15</v>
      </c>
      <c r="L43" s="612">
        <f>'통장내역(환율표)'!$D$246</f>
        <v>7.3190999922785887</v>
      </c>
      <c r="M43" s="991">
        <f t="shared" ref="M43:M50" si="10">K43/L43</f>
        <v>18.192127466555849</v>
      </c>
      <c r="N43" s="1009">
        <f t="shared" si="5"/>
        <v>398298.15000000031</v>
      </c>
      <c r="O43" s="1009">
        <f t="shared" si="6"/>
        <v>54668.909654871146</v>
      </c>
      <c r="P43" s="992" t="s">
        <v>1129</v>
      </c>
      <c r="Q43" s="713"/>
      <c r="R43" s="713"/>
      <c r="S43" s="963">
        <f t="shared" si="7"/>
        <v>2358.9085926181729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45708</v>
      </c>
      <c r="C44" s="997" t="s">
        <v>1377</v>
      </c>
      <c r="D44" s="1003"/>
      <c r="E44" s="998">
        <v>19</v>
      </c>
      <c r="F44" s="998" t="s">
        <v>107</v>
      </c>
      <c r="G44" s="640"/>
      <c r="H44" s="1004"/>
      <c r="I44" s="1003"/>
      <c r="J44" s="1003"/>
      <c r="K44" s="1138">
        <v>369.6</v>
      </c>
      <c r="L44" s="612">
        <f>'통장내역(환율표)'!$D$246</f>
        <v>7.3190999922785887</v>
      </c>
      <c r="M44" s="991">
        <f t="shared" si="10"/>
        <v>50.498012103935721</v>
      </c>
      <c r="N44" s="1009">
        <f t="shared" si="5"/>
        <v>397928.55000000034</v>
      </c>
      <c r="O44" s="1009">
        <f t="shared" si="6"/>
        <v>54618.411642767212</v>
      </c>
      <c r="P44" s="992" t="s">
        <v>1129</v>
      </c>
      <c r="Q44" s="713"/>
      <c r="R44" s="713"/>
      <c r="S44" s="963">
        <f t="shared" ref="S44:S53" si="11">S43-M44</f>
        <v>2308.4105805142372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45708</v>
      </c>
      <c r="C45" s="997" t="s">
        <v>250</v>
      </c>
      <c r="D45" s="1003"/>
      <c r="E45" s="998">
        <v>20</v>
      </c>
      <c r="F45" s="998" t="s">
        <v>107</v>
      </c>
      <c r="G45" s="640"/>
      <c r="H45" s="1004"/>
      <c r="I45" s="1003"/>
      <c r="J45" s="1003"/>
      <c r="K45" s="999">
        <v>3.6</v>
      </c>
      <c r="L45" s="612">
        <f>'통장내역(환율표)'!$D$246</f>
        <v>7.3190999922785887</v>
      </c>
      <c r="M45" s="991">
        <f t="shared" si="10"/>
        <v>0.49186375425911416</v>
      </c>
      <c r="N45" s="1009">
        <f t="shared" si="5"/>
        <v>397924.95000000036</v>
      </c>
      <c r="O45" s="1009">
        <f t="shared" si="6"/>
        <v>54617.919779012955</v>
      </c>
      <c r="P45" s="992" t="s">
        <v>1129</v>
      </c>
      <c r="Q45" s="713"/>
      <c r="R45" s="713"/>
      <c r="S45" s="963">
        <f t="shared" si="11"/>
        <v>2307.918716759978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45708</v>
      </c>
      <c r="C46" s="997" t="s">
        <v>1333</v>
      </c>
      <c r="D46" s="1003"/>
      <c r="E46" s="998">
        <v>21</v>
      </c>
      <c r="F46" s="998" t="s">
        <v>146</v>
      </c>
      <c r="G46" s="640" t="s">
        <v>147</v>
      </c>
      <c r="H46" s="1004"/>
      <c r="I46" s="1003"/>
      <c r="J46" s="1003"/>
      <c r="K46" s="1138">
        <v>292.45999999999998</v>
      </c>
      <c r="L46" s="612">
        <f>'통장내역(환율표)'!$D$246</f>
        <v>7.3190999922785887</v>
      </c>
      <c r="M46" s="991">
        <f t="shared" si="10"/>
        <v>39.958464880727924</v>
      </c>
      <c r="N46" s="1009">
        <f t="shared" si="5"/>
        <v>397632.49000000034</v>
      </c>
      <c r="O46" s="1009">
        <f t="shared" si="6"/>
        <v>54577.961314132226</v>
      </c>
      <c r="P46" s="992" t="s">
        <v>1129</v>
      </c>
      <c r="Q46" s="713"/>
      <c r="R46" s="713"/>
      <c r="S46" s="963">
        <f t="shared" si="11"/>
        <v>2267.9602518792499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45708</v>
      </c>
      <c r="C47" s="997" t="s">
        <v>1261</v>
      </c>
      <c r="D47" s="1003"/>
      <c r="E47" s="998">
        <v>22</v>
      </c>
      <c r="F47" s="998" t="s">
        <v>116</v>
      </c>
      <c r="G47" s="640" t="s">
        <v>140</v>
      </c>
      <c r="H47" s="1004"/>
      <c r="I47" s="1003"/>
      <c r="J47" s="1003"/>
      <c r="K47" s="1138">
        <v>299.10000000000002</v>
      </c>
      <c r="L47" s="612">
        <f>'통장내역(환율표)'!$D$246</f>
        <v>7.3190999922785887</v>
      </c>
      <c r="M47" s="991">
        <f t="shared" si="10"/>
        <v>40.865680249694734</v>
      </c>
      <c r="N47" s="1009">
        <f t="shared" si="5"/>
        <v>397333.39000000036</v>
      </c>
      <c r="O47" s="1009">
        <f t="shared" si="6"/>
        <v>54537.095633882534</v>
      </c>
      <c r="P47" s="992" t="s">
        <v>1129</v>
      </c>
      <c r="Q47" s="713"/>
      <c r="R47" s="713"/>
      <c r="S47" s="963">
        <f t="shared" si="11"/>
        <v>2227.094571629555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45708</v>
      </c>
      <c r="C48" s="997" t="s">
        <v>1262</v>
      </c>
      <c r="D48" s="1003"/>
      <c r="E48" s="998">
        <v>23</v>
      </c>
      <c r="F48" s="998" t="s">
        <v>107</v>
      </c>
      <c r="G48" s="640"/>
      <c r="H48" s="1004"/>
      <c r="I48" s="1003"/>
      <c r="J48" s="1003"/>
      <c r="K48" s="1138">
        <v>24</v>
      </c>
      <c r="L48" s="612">
        <f>'통장내역(환율표)'!$D$246</f>
        <v>7.3190999922785887</v>
      </c>
      <c r="M48" s="991">
        <f t="shared" si="10"/>
        <v>3.2790916950607611</v>
      </c>
      <c r="N48" s="1009">
        <f t="shared" si="5"/>
        <v>397309.39000000036</v>
      </c>
      <c r="O48" s="1009">
        <f t="shared" si="6"/>
        <v>54533.816542187473</v>
      </c>
      <c r="P48" s="992" t="s">
        <v>1129</v>
      </c>
      <c r="Q48" s="713"/>
      <c r="R48" s="713"/>
      <c r="S48" s="963">
        <f t="shared" si="11"/>
        <v>2223.8154799344943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45708</v>
      </c>
      <c r="C49" s="997" t="s">
        <v>1441</v>
      </c>
      <c r="D49" s="1003"/>
      <c r="E49" s="998">
        <v>24</v>
      </c>
      <c r="F49" s="998" t="s">
        <v>107</v>
      </c>
      <c r="G49" s="640"/>
      <c r="H49" s="1004"/>
      <c r="I49" s="1003"/>
      <c r="J49" s="1003"/>
      <c r="K49" s="1138">
        <v>145</v>
      </c>
      <c r="L49" s="612">
        <f>'통장내역(환율표)'!$D$246</f>
        <v>7.3190999922785887</v>
      </c>
      <c r="M49" s="991">
        <f t="shared" si="10"/>
        <v>19.811178990992097</v>
      </c>
      <c r="N49" s="1009">
        <f t="shared" si="5"/>
        <v>397164.39000000036</v>
      </c>
      <c r="O49" s="1009">
        <f t="shared" si="6"/>
        <v>54514.005363196484</v>
      </c>
      <c r="P49" s="992" t="s">
        <v>1129</v>
      </c>
      <c r="Q49" s="713"/>
      <c r="R49" s="713"/>
      <c r="S49" s="963">
        <f t="shared" si="11"/>
        <v>2204.0043009435021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45708</v>
      </c>
      <c r="C50" s="997" t="s">
        <v>1308</v>
      </c>
      <c r="D50" s="1003"/>
      <c r="E50" s="998">
        <v>25</v>
      </c>
      <c r="F50" s="998" t="s">
        <v>125</v>
      </c>
      <c r="G50" s="640" t="s">
        <v>145</v>
      </c>
      <c r="H50" s="1004"/>
      <c r="I50" s="1003"/>
      <c r="J50" s="1003"/>
      <c r="K50" s="1138">
        <v>2929.16</v>
      </c>
      <c r="L50" s="612">
        <f>'통장내역(환율표)'!$D$246</f>
        <v>7.3190999922785887</v>
      </c>
      <c r="M50" s="991">
        <f t="shared" si="10"/>
        <v>400.20767622934073</v>
      </c>
      <c r="N50" s="1009">
        <f t="shared" si="5"/>
        <v>394235.23000000039</v>
      </c>
      <c r="O50" s="1009">
        <f t="shared" si="6"/>
        <v>54113.79768696714</v>
      </c>
      <c r="P50" s="992" t="s">
        <v>1129</v>
      </c>
      <c r="Q50" s="713"/>
      <c r="R50" s="713"/>
      <c r="S50" s="963">
        <f t="shared" si="11"/>
        <v>1803.7966247141615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45708</v>
      </c>
      <c r="C51" s="997" t="s">
        <v>250</v>
      </c>
      <c r="D51" s="1003"/>
      <c r="E51" s="998">
        <v>26</v>
      </c>
      <c r="F51" s="640" t="s">
        <v>107</v>
      </c>
      <c r="G51" s="640"/>
      <c r="H51" s="1004"/>
      <c r="I51" s="1003"/>
      <c r="J51" s="1003"/>
      <c r="K51" s="999">
        <v>3.6</v>
      </c>
      <c r="L51" s="612">
        <f>'통장내역(환율표)'!$D$246</f>
        <v>7.3190999922785887</v>
      </c>
      <c r="M51" s="991">
        <f t="shared" ref="M51:M62" si="12">K51/L51</f>
        <v>0.49186375425911416</v>
      </c>
      <c r="N51" s="1009">
        <f t="shared" si="5"/>
        <v>394231.63000000041</v>
      </c>
      <c r="O51" s="1009">
        <f t="shared" si="6"/>
        <v>54113.305823212882</v>
      </c>
      <c r="P51" s="992" t="s">
        <v>1129</v>
      </c>
      <c r="Q51" s="713"/>
      <c r="R51" s="713"/>
      <c r="S51" s="963">
        <f t="shared" si="11"/>
        <v>1803.3047609599023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45708</v>
      </c>
      <c r="C52" s="997" t="s">
        <v>1349</v>
      </c>
      <c r="D52" s="1003"/>
      <c r="E52" s="998">
        <v>27</v>
      </c>
      <c r="F52" s="640" t="s">
        <v>146</v>
      </c>
      <c r="G52" s="640" t="s">
        <v>147</v>
      </c>
      <c r="H52" s="1004"/>
      <c r="I52" s="1003"/>
      <c r="J52" s="1003"/>
      <c r="K52" s="1138">
        <v>2964.93</v>
      </c>
      <c r="L52" s="612">
        <f>'통장내역(환율표)'!$D$246</f>
        <v>7.3190999922785887</v>
      </c>
      <c r="M52" s="991">
        <f t="shared" si="12"/>
        <v>405.09488914318757</v>
      </c>
      <c r="N52" s="1009">
        <f t="shared" si="5"/>
        <v>391266.70000000042</v>
      </c>
      <c r="O52" s="1009">
        <f t="shared" si="6"/>
        <v>53708.210934069692</v>
      </c>
      <c r="P52" s="992" t="s">
        <v>1129</v>
      </c>
      <c r="Q52" s="713"/>
      <c r="R52" s="713"/>
      <c r="S52" s="963">
        <f t="shared" si="11"/>
        <v>1398.2098718167147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45708</v>
      </c>
      <c r="C53" s="997" t="s">
        <v>839</v>
      </c>
      <c r="D53" s="1003"/>
      <c r="E53" s="998">
        <v>28</v>
      </c>
      <c r="F53" s="640" t="s">
        <v>125</v>
      </c>
      <c r="G53" s="640" t="s">
        <v>145</v>
      </c>
      <c r="H53" s="1004"/>
      <c r="I53" s="1003"/>
      <c r="J53" s="1003"/>
      <c r="K53" s="1138">
        <f>L53*M53</f>
        <v>10233.637862017562</v>
      </c>
      <c r="L53" s="612">
        <f>'통장내역(환율표)'!$D$246</f>
        <v>7.3190999922785887</v>
      </c>
      <c r="M53" s="991">
        <v>1398.2098718167147</v>
      </c>
      <c r="N53" s="1009">
        <f t="shared" si="5"/>
        <v>381033.06213798287</v>
      </c>
      <c r="O53" s="1009">
        <f t="shared" si="6"/>
        <v>52310.001062252973</v>
      </c>
      <c r="P53" s="992" t="s">
        <v>1129</v>
      </c>
      <c r="Q53" s="713"/>
      <c r="R53" s="713"/>
      <c r="S53" s="963">
        <f t="shared" si="11"/>
        <v>0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45708</v>
      </c>
      <c r="C54" s="997" t="s">
        <v>839</v>
      </c>
      <c r="D54" s="1003"/>
      <c r="E54" s="998">
        <v>28</v>
      </c>
      <c r="F54" s="640" t="s">
        <v>125</v>
      </c>
      <c r="G54" s="640" t="s">
        <v>145</v>
      </c>
      <c r="H54" s="1004"/>
      <c r="I54" s="1003"/>
      <c r="J54" s="1003"/>
      <c r="K54" s="1138">
        <f>13575-K53</f>
        <v>3341.3621379824381</v>
      </c>
      <c r="L54" s="612">
        <f>'통장내역(환율표)'!$D$254</f>
        <v>7.2280994076744784</v>
      </c>
      <c r="M54" s="993">
        <f t="shared" si="12"/>
        <v>462.27396021071962</v>
      </c>
      <c r="N54" s="1009">
        <f t="shared" si="5"/>
        <v>377691.70000000042</v>
      </c>
      <c r="O54" s="1009">
        <f t="shared" si="6"/>
        <v>51847.727102042256</v>
      </c>
      <c r="P54" s="992" t="s">
        <v>1436</v>
      </c>
      <c r="Q54" s="713"/>
      <c r="R54" s="713"/>
      <c r="S54" s="963">
        <f>7766-M54</f>
        <v>7303.7260397892805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45708</v>
      </c>
      <c r="C55" s="997" t="s">
        <v>250</v>
      </c>
      <c r="D55" s="1003"/>
      <c r="E55" s="998">
        <v>29</v>
      </c>
      <c r="F55" s="640" t="s">
        <v>107</v>
      </c>
      <c r="G55" s="640"/>
      <c r="H55" s="1004"/>
      <c r="I55" s="1003"/>
      <c r="J55" s="1003"/>
      <c r="K55" s="1138">
        <v>7.2</v>
      </c>
      <c r="L55" s="612">
        <f>'통장내역(환율표)'!$D$254</f>
        <v>7.2280994076744784</v>
      </c>
      <c r="M55" s="993">
        <f t="shared" si="12"/>
        <v>0.99611247631090361</v>
      </c>
      <c r="N55" s="1009">
        <f t="shared" si="5"/>
        <v>377684.50000000041</v>
      </c>
      <c r="O55" s="1009">
        <f t="shared" si="6"/>
        <v>51846.730989565942</v>
      </c>
      <c r="P55" s="992" t="s">
        <v>1436</v>
      </c>
      <c r="Q55" s="713"/>
      <c r="R55" s="713"/>
      <c r="S55" s="963">
        <f>S54-M55</f>
        <v>7302.7299273129693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45708</v>
      </c>
      <c r="C56" s="997" t="s">
        <v>1442</v>
      </c>
      <c r="D56" s="1003"/>
      <c r="E56" s="640">
        <v>30</v>
      </c>
      <c r="F56" s="640" t="s">
        <v>125</v>
      </c>
      <c r="G56" s="640" t="s">
        <v>145</v>
      </c>
      <c r="H56" s="640"/>
      <c r="I56" s="640"/>
      <c r="J56" s="640"/>
      <c r="K56" s="1025">
        <v>74</v>
      </c>
      <c r="L56" s="612">
        <f>'통장내역(환율표)'!$D$254</f>
        <v>7.2280994076744784</v>
      </c>
      <c r="M56" s="993">
        <f t="shared" si="12"/>
        <v>10.237822673195398</v>
      </c>
      <c r="N56" s="1009">
        <f t="shared" si="5"/>
        <v>377610.50000000041</v>
      </c>
      <c r="O56" s="1009">
        <f t="shared" si="6"/>
        <v>51836.493166892746</v>
      </c>
      <c r="P56" s="992" t="s">
        <v>1436</v>
      </c>
      <c r="Q56" s="713"/>
      <c r="R56" s="713"/>
      <c r="S56" s="963">
        <f t="shared" ref="S56:S97" si="13">S55-M56</f>
        <v>7292.492104639774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45708</v>
      </c>
      <c r="C57" s="997" t="s">
        <v>1443</v>
      </c>
      <c r="D57" s="1003"/>
      <c r="E57" s="998">
        <v>31</v>
      </c>
      <c r="F57" s="640" t="s">
        <v>116</v>
      </c>
      <c r="G57" s="640" t="s">
        <v>140</v>
      </c>
      <c r="H57" s="640"/>
      <c r="I57" s="640"/>
      <c r="J57" s="640"/>
      <c r="K57" s="1025">
        <v>93.06</v>
      </c>
      <c r="L57" s="612">
        <f>'통장내역(환율표)'!$D$254</f>
        <v>7.2280994076744784</v>
      </c>
      <c r="M57" s="993">
        <f t="shared" si="12"/>
        <v>12.874753756318428</v>
      </c>
      <c r="N57" s="1009">
        <f t="shared" si="5"/>
        <v>377517.44000000041</v>
      </c>
      <c r="O57" s="1009">
        <f t="shared" si="6"/>
        <v>51823.618413136428</v>
      </c>
      <c r="P57" s="992" t="s">
        <v>1436</v>
      </c>
      <c r="Q57" s="713"/>
      <c r="R57" s="713"/>
      <c r="S57" s="963">
        <f t="shared" si="13"/>
        <v>7279.6173508834554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45708</v>
      </c>
      <c r="C58" s="997" t="s">
        <v>1444</v>
      </c>
      <c r="D58" s="1003"/>
      <c r="E58" s="998">
        <v>32</v>
      </c>
      <c r="F58" s="640" t="s">
        <v>146</v>
      </c>
      <c r="G58" s="640" t="s">
        <v>147</v>
      </c>
      <c r="H58" s="640"/>
      <c r="I58" s="640"/>
      <c r="J58" s="640"/>
      <c r="K58" s="1025">
        <v>1970.3</v>
      </c>
      <c r="L58" s="612">
        <f>'통장내역(환율표)'!$D$254</f>
        <v>7.2280994076744784</v>
      </c>
      <c r="M58" s="993">
        <f t="shared" si="12"/>
        <v>272.58894612157962</v>
      </c>
      <c r="N58" s="1009">
        <f t="shared" si="5"/>
        <v>375547.14000000042</v>
      </c>
      <c r="O58" s="1009">
        <f t="shared" si="6"/>
        <v>51551.029467014851</v>
      </c>
      <c r="P58" s="992" t="s">
        <v>1436</v>
      </c>
      <c r="Q58" s="713"/>
      <c r="R58" s="713"/>
      <c r="S58" s="963">
        <f t="shared" si="13"/>
        <v>7007.0284047618761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45708</v>
      </c>
      <c r="C59" s="997" t="s">
        <v>1445</v>
      </c>
      <c r="D59" s="1003"/>
      <c r="E59" s="998">
        <v>33</v>
      </c>
      <c r="F59" s="640" t="s">
        <v>146</v>
      </c>
      <c r="G59" s="640" t="s">
        <v>147</v>
      </c>
      <c r="H59" s="640"/>
      <c r="I59" s="640"/>
      <c r="J59" s="640"/>
      <c r="K59" s="1025">
        <v>93.48</v>
      </c>
      <c r="L59" s="612">
        <f>'통장내역(환율표)'!$D$254</f>
        <v>7.2280994076744784</v>
      </c>
      <c r="M59" s="993">
        <f t="shared" si="12"/>
        <v>12.932860317436566</v>
      </c>
      <c r="N59" s="1009">
        <f t="shared" si="5"/>
        <v>375453.66000000044</v>
      </c>
      <c r="O59" s="1009">
        <f t="shared" si="6"/>
        <v>51538.096606697414</v>
      </c>
      <c r="P59" s="992" t="s">
        <v>1436</v>
      </c>
      <c r="Q59" s="713"/>
      <c r="R59" s="713"/>
      <c r="S59" s="963">
        <f t="shared" si="13"/>
        <v>6994.0955444444398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45708</v>
      </c>
      <c r="C60" s="997" t="s">
        <v>1446</v>
      </c>
      <c r="D60" s="1003"/>
      <c r="E60" s="640">
        <v>34</v>
      </c>
      <c r="F60" s="994" t="s">
        <v>107</v>
      </c>
      <c r="G60" s="640"/>
      <c r="H60" s="640"/>
      <c r="I60" s="640"/>
      <c r="J60" s="640"/>
      <c r="K60" s="1025">
        <v>137.4</v>
      </c>
      <c r="L60" s="612">
        <f>'통장내역(환율표)'!$D$254</f>
        <v>7.2280994076744784</v>
      </c>
      <c r="M60" s="993">
        <f t="shared" si="12"/>
        <v>19.009146422933078</v>
      </c>
      <c r="N60" s="1009">
        <f t="shared" si="5"/>
        <v>375316.26000000042</v>
      </c>
      <c r="O60" s="1009">
        <f t="shared" si="6"/>
        <v>51519.087460274481</v>
      </c>
      <c r="P60" s="992" t="s">
        <v>1436</v>
      </c>
      <c r="Q60" s="713"/>
      <c r="R60" s="713"/>
      <c r="S60" s="963">
        <f t="shared" si="13"/>
        <v>6975.0863980215072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45708</v>
      </c>
      <c r="C61" s="997" t="s">
        <v>250</v>
      </c>
      <c r="D61" s="1003"/>
      <c r="E61" s="640">
        <v>35</v>
      </c>
      <c r="F61" s="640" t="s">
        <v>107</v>
      </c>
      <c r="G61" s="640"/>
      <c r="H61" s="640"/>
      <c r="I61" s="640"/>
      <c r="J61" s="640"/>
      <c r="K61" s="1025">
        <v>3.6</v>
      </c>
      <c r="L61" s="612">
        <f>'통장내역(환율표)'!$D$254</f>
        <v>7.2280994076744784</v>
      </c>
      <c r="M61" s="993">
        <f t="shared" si="12"/>
        <v>0.4980562381554518</v>
      </c>
      <c r="N61" s="1009">
        <f t="shared" si="5"/>
        <v>375312.66000000044</v>
      </c>
      <c r="O61" s="1009">
        <f t="shared" si="6"/>
        <v>51518.589404036327</v>
      </c>
      <c r="P61" s="992" t="s">
        <v>1436</v>
      </c>
      <c r="Q61" s="713"/>
      <c r="R61" s="713"/>
      <c r="S61" s="963">
        <f t="shared" si="13"/>
        <v>6974.588341783352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ht="11.25" customHeight="1">
      <c r="B62" s="1136">
        <v>45708</v>
      </c>
      <c r="C62" s="1046" t="s">
        <v>1006</v>
      </c>
      <c r="D62" s="1003"/>
      <c r="E62" s="998">
        <v>36</v>
      </c>
      <c r="F62" s="640" t="s">
        <v>146</v>
      </c>
      <c r="G62" s="640" t="s">
        <v>147</v>
      </c>
      <c r="H62" s="640"/>
      <c r="I62" s="640"/>
      <c r="J62" s="640"/>
      <c r="K62" s="1138">
        <v>270</v>
      </c>
      <c r="L62" s="612">
        <f>'통장내역(환율표)'!$D$254</f>
        <v>7.2280994076744784</v>
      </c>
      <c r="M62" s="993">
        <f t="shared" si="12"/>
        <v>37.354217861658881</v>
      </c>
      <c r="N62" s="1009">
        <f t="shared" si="5"/>
        <v>375042.66000000044</v>
      </c>
      <c r="O62" s="1009">
        <f t="shared" si="6"/>
        <v>51481.235186174672</v>
      </c>
      <c r="P62" s="992" t="s">
        <v>1436</v>
      </c>
      <c r="Q62" s="713"/>
      <c r="R62" s="713"/>
      <c r="S62" s="963">
        <f t="shared" si="13"/>
        <v>6937.234123921693</v>
      </c>
    </row>
    <row r="63" spans="1:29" ht="11.25" customHeight="1">
      <c r="B63" s="1136">
        <v>45708</v>
      </c>
      <c r="C63" s="1046" t="s">
        <v>1008</v>
      </c>
      <c r="D63" s="1003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1138">
        <v>2380</v>
      </c>
      <c r="L63" s="612">
        <f>'통장내역(환율표)'!$D$254</f>
        <v>7.2280994076744784</v>
      </c>
      <c r="M63" s="993">
        <f t="shared" ref="M63:M69" si="14">K63/L63</f>
        <v>329.27051300277088</v>
      </c>
      <c r="N63" s="1009">
        <f t="shared" si="5"/>
        <v>372662.66000000044</v>
      </c>
      <c r="O63" s="1009">
        <f t="shared" si="6"/>
        <v>51151.964673171904</v>
      </c>
      <c r="P63" s="992" t="s">
        <v>1436</v>
      </c>
      <c r="Q63" s="713"/>
      <c r="R63" s="713"/>
      <c r="S63" s="963">
        <f t="shared" si="13"/>
        <v>6607.9636109189223</v>
      </c>
    </row>
    <row r="64" spans="1:29" ht="11.25" customHeight="1">
      <c r="B64" s="1136">
        <v>45708</v>
      </c>
      <c r="C64" s="1046" t="s">
        <v>1007</v>
      </c>
      <c r="D64" s="1003"/>
      <c r="E64" s="998">
        <v>38</v>
      </c>
      <c r="F64" s="640" t="s">
        <v>146</v>
      </c>
      <c r="G64" s="1053" t="s">
        <v>147</v>
      </c>
      <c r="H64" s="1053"/>
      <c r="I64" s="1053"/>
      <c r="J64" s="1053"/>
      <c r="K64" s="1138">
        <v>381</v>
      </c>
      <c r="L64" s="612">
        <f>'통장내역(환율표)'!$D$254</f>
        <v>7.2280994076744784</v>
      </c>
      <c r="M64" s="993">
        <f t="shared" si="14"/>
        <v>52.710951871451982</v>
      </c>
      <c r="N64" s="1009">
        <f t="shared" si="5"/>
        <v>372281.66000000044</v>
      </c>
      <c r="O64" s="1009">
        <f t="shared" si="6"/>
        <v>51099.253721300454</v>
      </c>
      <c r="P64" s="992" t="s">
        <v>1436</v>
      </c>
      <c r="Q64" s="713"/>
      <c r="R64" s="713"/>
      <c r="S64" s="963">
        <f t="shared" si="13"/>
        <v>6555.2526590474699</v>
      </c>
    </row>
    <row r="65" spans="2:19" ht="11.25" customHeight="1">
      <c r="B65" s="1136">
        <v>45708</v>
      </c>
      <c r="C65" s="997" t="s">
        <v>250</v>
      </c>
      <c r="D65" s="1003"/>
      <c r="E65" s="998">
        <v>39</v>
      </c>
      <c r="F65" s="640" t="s">
        <v>107</v>
      </c>
      <c r="G65" s="1053"/>
      <c r="H65" s="1053"/>
      <c r="I65" s="1053"/>
      <c r="J65" s="1053"/>
      <c r="K65" s="1138">
        <v>3.6</v>
      </c>
      <c r="L65" s="612">
        <f>'통장내역(환율표)'!$D$254</f>
        <v>7.2280994076744784</v>
      </c>
      <c r="M65" s="993">
        <f t="shared" si="14"/>
        <v>0.4980562381554518</v>
      </c>
      <c r="N65" s="1009">
        <f t="shared" si="5"/>
        <v>372278.06000000046</v>
      </c>
      <c r="O65" s="1009">
        <f t="shared" si="6"/>
        <v>51098.755665062301</v>
      </c>
      <c r="P65" s="992" t="s">
        <v>1436</v>
      </c>
      <c r="Q65" s="713"/>
      <c r="R65" s="713"/>
      <c r="S65" s="963">
        <f t="shared" si="13"/>
        <v>6554.7546028093147</v>
      </c>
    </row>
    <row r="66" spans="2:19" ht="11.25" customHeight="1">
      <c r="B66" s="1136">
        <v>45708</v>
      </c>
      <c r="C66" s="1046" t="s">
        <v>1004</v>
      </c>
      <c r="D66" s="1003"/>
      <c r="E66" s="998">
        <v>40</v>
      </c>
      <c r="F66" s="640" t="s">
        <v>146</v>
      </c>
      <c r="G66" s="1053" t="s">
        <v>147</v>
      </c>
      <c r="H66" s="1053"/>
      <c r="I66" s="1053"/>
      <c r="J66" s="1053"/>
      <c r="K66" s="1138">
        <v>497</v>
      </c>
      <c r="L66" s="612">
        <f>'통장내역(환율표)'!$D$254</f>
        <v>7.2280994076744784</v>
      </c>
      <c r="M66" s="993">
        <f t="shared" si="14"/>
        <v>68.759430656460978</v>
      </c>
      <c r="N66" s="1009">
        <f t="shared" si="5"/>
        <v>371781.06000000046</v>
      </c>
      <c r="O66" s="1009">
        <f t="shared" si="6"/>
        <v>51029.996234405837</v>
      </c>
      <c r="P66" s="992" t="s">
        <v>1436</v>
      </c>
      <c r="Q66" s="713"/>
      <c r="R66" s="713"/>
      <c r="S66" s="963">
        <f t="shared" si="13"/>
        <v>6485.9951721528541</v>
      </c>
    </row>
    <row r="67" spans="2:19" ht="11.25" customHeight="1">
      <c r="B67" s="1136">
        <v>45708</v>
      </c>
      <c r="C67" s="1046" t="s">
        <v>1005</v>
      </c>
      <c r="D67" s="1003"/>
      <c r="E67" s="1053">
        <v>41</v>
      </c>
      <c r="F67" s="1053" t="s">
        <v>146</v>
      </c>
      <c r="G67" s="1053" t="s">
        <v>147</v>
      </c>
      <c r="H67" s="1053"/>
      <c r="I67" s="1053"/>
      <c r="J67" s="1053"/>
      <c r="K67" s="1139">
        <v>1488</v>
      </c>
      <c r="L67" s="612">
        <f>'통장내역(환율표)'!$D$254</f>
        <v>7.2280994076744784</v>
      </c>
      <c r="M67" s="993">
        <f t="shared" si="14"/>
        <v>205.86324510425339</v>
      </c>
      <c r="N67" s="1009">
        <f t="shared" si="5"/>
        <v>370293.06000000046</v>
      </c>
      <c r="O67" s="1009">
        <f t="shared" si="6"/>
        <v>50824.132989301586</v>
      </c>
      <c r="P67" s="992" t="s">
        <v>1436</v>
      </c>
      <c r="Q67" s="713"/>
      <c r="R67" s="713"/>
      <c r="S67" s="963">
        <f t="shared" si="13"/>
        <v>6280.131927048601</v>
      </c>
    </row>
    <row r="68" spans="2:19" ht="11.25" customHeight="1">
      <c r="B68" s="1136">
        <v>45708</v>
      </c>
      <c r="C68" s="1046" t="s">
        <v>1003</v>
      </c>
      <c r="D68" s="1003"/>
      <c r="E68" s="998">
        <v>42</v>
      </c>
      <c r="F68" s="1053" t="s">
        <v>146</v>
      </c>
      <c r="G68" s="1053" t="s">
        <v>147</v>
      </c>
      <c r="H68" s="1053"/>
      <c r="I68" s="1053"/>
      <c r="J68" s="1053"/>
      <c r="K68" s="1138">
        <v>45</v>
      </c>
      <c r="L68" s="612">
        <f>'통장내역(환율표)'!$D$254</f>
        <v>7.2280994076744784</v>
      </c>
      <c r="M68" s="993">
        <f t="shared" si="14"/>
        <v>6.2257029769431469</v>
      </c>
      <c r="N68" s="1009">
        <f t="shared" si="5"/>
        <v>370248.06000000046</v>
      </c>
      <c r="O68" s="1009">
        <f t="shared" si="6"/>
        <v>50817.90728632464</v>
      </c>
      <c r="P68" s="992" t="s">
        <v>1436</v>
      </c>
      <c r="Q68" s="713"/>
      <c r="R68" s="713"/>
      <c r="S68" s="963">
        <f t="shared" si="13"/>
        <v>6273.9062240716576</v>
      </c>
    </row>
    <row r="69" spans="2:19" ht="11.25" customHeight="1">
      <c r="B69" s="1136">
        <v>45708</v>
      </c>
      <c r="C69" s="997" t="s">
        <v>250</v>
      </c>
      <c r="D69" s="1003"/>
      <c r="E69" s="998">
        <v>43</v>
      </c>
      <c r="F69" s="1053" t="s">
        <v>107</v>
      </c>
      <c r="G69" s="1053"/>
      <c r="H69" s="1053"/>
      <c r="I69" s="1053"/>
      <c r="J69" s="1053"/>
      <c r="K69" s="1138">
        <v>3.6</v>
      </c>
      <c r="L69" s="612">
        <f>'통장내역(환율표)'!$D$254</f>
        <v>7.2280994076744784</v>
      </c>
      <c r="M69" s="993">
        <f t="shared" si="14"/>
        <v>0.4980562381554518</v>
      </c>
      <c r="N69" s="1009">
        <f t="shared" si="5"/>
        <v>370244.46000000049</v>
      </c>
      <c r="O69" s="1009">
        <f t="shared" si="6"/>
        <v>50817.409230086487</v>
      </c>
      <c r="P69" s="992" t="s">
        <v>1436</v>
      </c>
      <c r="Q69" s="713"/>
      <c r="R69" s="713"/>
      <c r="S69" s="963">
        <f t="shared" si="13"/>
        <v>6273.4081678335024</v>
      </c>
    </row>
    <row r="70" spans="2:19" ht="11.25" customHeight="1">
      <c r="B70" s="1136">
        <v>45708</v>
      </c>
      <c r="C70" s="1046" t="s">
        <v>892</v>
      </c>
      <c r="D70" s="1003"/>
      <c r="E70" s="998">
        <v>44</v>
      </c>
      <c r="F70" s="1053" t="s">
        <v>107</v>
      </c>
      <c r="G70" s="1053"/>
      <c r="H70" s="1053"/>
      <c r="I70" s="1053"/>
      <c r="J70" s="1053"/>
      <c r="K70" s="999">
        <v>16000</v>
      </c>
      <c r="L70" s="612">
        <f>'통장내역(환율표)'!$D$254</f>
        <v>7.2280994076744784</v>
      </c>
      <c r="M70" s="993">
        <f t="shared" ref="M70:M97" si="15">K70/L70</f>
        <v>2213.583280690897</v>
      </c>
      <c r="N70" s="1009">
        <f t="shared" si="5"/>
        <v>354244.46000000049</v>
      </c>
      <c r="O70" s="1009">
        <f t="shared" si="6"/>
        <v>48603.825949395592</v>
      </c>
      <c r="P70" s="992" t="s">
        <v>1436</v>
      </c>
      <c r="Q70" s="713"/>
      <c r="R70" s="713"/>
      <c r="S70" s="963">
        <f t="shared" si="13"/>
        <v>4059.8248871426053</v>
      </c>
    </row>
    <row r="71" spans="2:19" ht="11.25" customHeight="1">
      <c r="B71" s="1136">
        <v>45708</v>
      </c>
      <c r="C71" s="1046" t="s">
        <v>947</v>
      </c>
      <c r="D71" s="1003"/>
      <c r="E71" s="1053">
        <v>44</v>
      </c>
      <c r="F71" s="1053" t="s">
        <v>107</v>
      </c>
      <c r="G71" s="1053"/>
      <c r="H71" s="1053"/>
      <c r="I71" s="1053"/>
      <c r="J71" s="1053"/>
      <c r="K71" s="999">
        <v>24000</v>
      </c>
      <c r="L71" s="612">
        <f>'통장내역(환율표)'!$D$254</f>
        <v>7.2280994076744784</v>
      </c>
      <c r="M71" s="993">
        <f t="shared" si="15"/>
        <v>3320.3749210363453</v>
      </c>
      <c r="N71" s="1009">
        <f t="shared" si="5"/>
        <v>330244.46000000049</v>
      </c>
      <c r="O71" s="1009">
        <f t="shared" si="6"/>
        <v>45283.451028359246</v>
      </c>
      <c r="P71" s="992" t="s">
        <v>1436</v>
      </c>
      <c r="Q71" s="713"/>
      <c r="R71" s="713"/>
      <c r="S71" s="963">
        <f t="shared" si="13"/>
        <v>739.44996610626004</v>
      </c>
    </row>
    <row r="72" spans="2:19" ht="11.25" customHeight="1">
      <c r="B72" s="1136">
        <v>45708</v>
      </c>
      <c r="C72" s="997" t="s">
        <v>894</v>
      </c>
      <c r="D72" s="1003"/>
      <c r="E72" s="998">
        <v>44</v>
      </c>
      <c r="F72" s="1053" t="s">
        <v>107</v>
      </c>
      <c r="G72" s="1053"/>
      <c r="H72" s="1053"/>
      <c r="I72" s="1053"/>
      <c r="J72" s="1053"/>
      <c r="K72" s="999">
        <v>5305.1900000000005</v>
      </c>
      <c r="L72" s="612">
        <f>'통장내역(환율표)'!$D$254</f>
        <v>7.2280994076744784</v>
      </c>
      <c r="M72" s="993">
        <f t="shared" si="15"/>
        <v>733.96749280553377</v>
      </c>
      <c r="N72" s="1009">
        <f t="shared" si="5"/>
        <v>324939.27000000048</v>
      </c>
      <c r="O72" s="1009">
        <f t="shared" si="6"/>
        <v>44549.483535553714</v>
      </c>
      <c r="P72" s="992" t="s">
        <v>1436</v>
      </c>
      <c r="Q72" s="713"/>
      <c r="R72" s="713"/>
      <c r="S72" s="963">
        <f t="shared" si="13"/>
        <v>5.4824733007262694</v>
      </c>
    </row>
    <row r="73" spans="2:19" ht="11.25" customHeight="1">
      <c r="B73" s="1136">
        <v>45708</v>
      </c>
      <c r="C73" s="1046" t="s">
        <v>895</v>
      </c>
      <c r="D73" s="1003"/>
      <c r="E73" s="998">
        <v>44</v>
      </c>
      <c r="F73" s="1053" t="s">
        <v>107</v>
      </c>
      <c r="G73" s="1053"/>
      <c r="H73" s="1053"/>
      <c r="I73" s="1053"/>
      <c r="J73" s="1053"/>
      <c r="K73" s="999">
        <f>L73*M73</f>
        <v>39.627862017570692</v>
      </c>
      <c r="L73" s="612">
        <f>'통장내역(환율표)'!$D$254</f>
        <v>7.2280994076744784</v>
      </c>
      <c r="M73" s="993">
        <v>5.4824733007262694</v>
      </c>
      <c r="N73" s="1009">
        <f t="shared" si="5"/>
        <v>324899.64213798294</v>
      </c>
      <c r="O73" s="1009">
        <f t="shared" si="6"/>
        <v>44544.001062252988</v>
      </c>
      <c r="P73" s="992" t="s">
        <v>1436</v>
      </c>
      <c r="Q73" s="713"/>
      <c r="R73" s="713"/>
      <c r="S73" s="963">
        <f t="shared" si="13"/>
        <v>0</v>
      </c>
    </row>
    <row r="74" spans="2:19" ht="11.25" customHeight="1">
      <c r="B74" s="1136">
        <v>45708</v>
      </c>
      <c r="C74" s="1046" t="s">
        <v>895</v>
      </c>
      <c r="D74" s="1003"/>
      <c r="E74" s="998">
        <v>44</v>
      </c>
      <c r="F74" s="1053" t="s">
        <v>107</v>
      </c>
      <c r="G74" s="1053"/>
      <c r="H74" s="1053"/>
      <c r="I74" s="1053"/>
      <c r="J74" s="1053"/>
      <c r="K74" s="999">
        <f>3152.56-K73</f>
        <v>3112.9321379824291</v>
      </c>
      <c r="L74" s="612">
        <f>'통장내역(환율표)'!$D$257</f>
        <v>7.2945000448994257</v>
      </c>
      <c r="M74" s="1012">
        <f t="shared" si="15"/>
        <v>426.75058178375122</v>
      </c>
      <c r="N74" s="1009">
        <f t="shared" si="5"/>
        <v>321786.71000000049</v>
      </c>
      <c r="O74" s="1009">
        <f t="shared" si="6"/>
        <v>44117.250480469236</v>
      </c>
      <c r="P74" s="992" t="s">
        <v>1146</v>
      </c>
      <c r="Q74" s="713"/>
      <c r="R74" s="713"/>
      <c r="S74" s="963">
        <f>44544-M74</f>
        <v>44117.249418216248</v>
      </c>
    </row>
    <row r="75" spans="2:19" ht="11.25" customHeight="1">
      <c r="B75" s="1136">
        <v>45708</v>
      </c>
      <c r="C75" s="1046" t="s">
        <v>899</v>
      </c>
      <c r="D75" s="1003"/>
      <c r="E75" s="998">
        <v>44</v>
      </c>
      <c r="F75" s="1053" t="s">
        <v>107</v>
      </c>
      <c r="G75" s="1053"/>
      <c r="H75" s="1053"/>
      <c r="I75" s="1053"/>
      <c r="J75" s="1053"/>
      <c r="K75" s="999">
        <v>300</v>
      </c>
      <c r="L75" s="612">
        <f>'통장내역(환율표)'!$D$257</f>
        <v>7.2945000448994257</v>
      </c>
      <c r="M75" s="1012">
        <f t="shared" si="15"/>
        <v>41.126876160590427</v>
      </c>
      <c r="N75" s="1009">
        <f t="shared" si="5"/>
        <v>321486.71000000049</v>
      </c>
      <c r="O75" s="1009">
        <f t="shared" si="6"/>
        <v>44076.123604308646</v>
      </c>
      <c r="P75" s="992" t="s">
        <v>1146</v>
      </c>
      <c r="Q75" s="713"/>
      <c r="R75" s="713"/>
      <c r="S75" s="963">
        <f>S74-M75</f>
        <v>44076.122542055658</v>
      </c>
    </row>
    <row r="76" spans="2:19" ht="11.25" customHeight="1">
      <c r="B76" s="1136">
        <v>45708</v>
      </c>
      <c r="C76" s="1046" t="s">
        <v>892</v>
      </c>
      <c r="D76" s="1003"/>
      <c r="E76" s="998">
        <v>44</v>
      </c>
      <c r="F76" s="1053" t="s">
        <v>107</v>
      </c>
      <c r="G76" s="1053"/>
      <c r="H76" s="1053"/>
      <c r="I76" s="1053"/>
      <c r="J76" s="1053"/>
      <c r="K76" s="999">
        <v>16000</v>
      </c>
      <c r="L76" s="612">
        <f>'통장내역(환율표)'!$D$257</f>
        <v>7.2945000448994257</v>
      </c>
      <c r="M76" s="1012">
        <f t="shared" si="15"/>
        <v>2193.4333952314896</v>
      </c>
      <c r="N76" s="1009">
        <f t="shared" si="5"/>
        <v>305486.71000000049</v>
      </c>
      <c r="O76" s="1009">
        <f t="shared" si="6"/>
        <v>41882.690209077155</v>
      </c>
      <c r="P76" s="992" t="s">
        <v>1146</v>
      </c>
      <c r="Q76" s="713"/>
      <c r="R76" s="713"/>
      <c r="S76" s="963">
        <f>S75-M76</f>
        <v>41882.689146824167</v>
      </c>
    </row>
    <row r="77" spans="2:19" ht="11.25" customHeight="1">
      <c r="B77" s="1136">
        <v>45708</v>
      </c>
      <c r="C77" s="1046" t="s">
        <v>947</v>
      </c>
      <c r="D77" s="1003"/>
      <c r="E77" s="640">
        <v>44</v>
      </c>
      <c r="F77" s="1053" t="s">
        <v>107</v>
      </c>
      <c r="G77" s="640"/>
      <c r="H77" s="640"/>
      <c r="I77" s="640"/>
      <c r="J77" s="640"/>
      <c r="K77" s="999">
        <v>24000</v>
      </c>
      <c r="L77" s="612">
        <f>'통장내역(환율표)'!$D$257</f>
        <v>7.2945000448994257</v>
      </c>
      <c r="M77" s="1012">
        <f t="shared" si="15"/>
        <v>3290.1500928472342</v>
      </c>
      <c r="N77" s="1009">
        <f t="shared" si="5"/>
        <v>281486.71000000049</v>
      </c>
      <c r="O77" s="1009">
        <f t="shared" si="6"/>
        <v>38592.540116229924</v>
      </c>
      <c r="P77" s="992" t="s">
        <v>1146</v>
      </c>
      <c r="Q77" s="713"/>
      <c r="R77" s="713"/>
      <c r="S77" s="963">
        <f t="shared" si="13"/>
        <v>38592.539053976929</v>
      </c>
    </row>
    <row r="78" spans="2:19" ht="11.25" customHeight="1">
      <c r="B78" s="1136">
        <v>45708</v>
      </c>
      <c r="C78" s="1046" t="s">
        <v>894</v>
      </c>
      <c r="D78" s="1003"/>
      <c r="E78" s="998">
        <v>44</v>
      </c>
      <c r="F78" s="1053" t="s">
        <v>107</v>
      </c>
      <c r="G78" s="640"/>
      <c r="H78" s="640"/>
      <c r="I78" s="640"/>
      <c r="J78" s="640"/>
      <c r="K78" s="999">
        <v>8726.1899999999987</v>
      </c>
      <c r="L78" s="612">
        <f>'통장내역(환율표)'!$D$257</f>
        <v>7.2945000448994257</v>
      </c>
      <c r="M78" s="1012">
        <f t="shared" si="15"/>
        <v>1196.2697849459419</v>
      </c>
      <c r="N78" s="1009">
        <f t="shared" si="5"/>
        <v>272760.52000000048</v>
      </c>
      <c r="O78" s="1009">
        <f t="shared" si="6"/>
        <v>37396.27033128398</v>
      </c>
      <c r="P78" s="992" t="s">
        <v>1146</v>
      </c>
      <c r="Q78" s="713"/>
      <c r="R78" s="713"/>
      <c r="S78" s="963">
        <f t="shared" si="13"/>
        <v>37396.269269030985</v>
      </c>
    </row>
    <row r="79" spans="2:19" ht="11.25" customHeight="1">
      <c r="B79" s="1136">
        <v>45708</v>
      </c>
      <c r="C79" s="1046" t="s">
        <v>895</v>
      </c>
      <c r="D79" s="1003"/>
      <c r="E79" s="998">
        <v>44</v>
      </c>
      <c r="F79" s="1053" t="s">
        <v>107</v>
      </c>
      <c r="G79" s="640"/>
      <c r="H79" s="640"/>
      <c r="I79" s="640"/>
      <c r="J79" s="640"/>
      <c r="K79" s="999">
        <v>2863.9</v>
      </c>
      <c r="L79" s="612">
        <f>'통장내역(환율표)'!$D$257</f>
        <v>7.2945000448994257</v>
      </c>
      <c r="M79" s="1012">
        <f t="shared" si="15"/>
        <v>392.61086878771641</v>
      </c>
      <c r="N79" s="1009">
        <f t="shared" si="5"/>
        <v>269896.62000000046</v>
      </c>
      <c r="O79" s="1009">
        <f t="shared" si="6"/>
        <v>37003.659462496267</v>
      </c>
      <c r="P79" s="992" t="s">
        <v>1146</v>
      </c>
      <c r="Q79" s="713"/>
      <c r="R79" s="713"/>
      <c r="S79" s="963">
        <f t="shared" si="13"/>
        <v>37003.658400243272</v>
      </c>
    </row>
    <row r="80" spans="2:19" ht="11.25" customHeight="1">
      <c r="B80" s="1136">
        <v>45708</v>
      </c>
      <c r="C80" s="1046" t="s">
        <v>899</v>
      </c>
      <c r="D80" s="1003"/>
      <c r="E80" s="640">
        <v>44</v>
      </c>
      <c r="F80" s="1053" t="s">
        <v>107</v>
      </c>
      <c r="G80" s="640"/>
      <c r="H80" s="640"/>
      <c r="I80" s="640"/>
      <c r="J80" s="640"/>
      <c r="K80" s="999">
        <v>300</v>
      </c>
      <c r="L80" s="612">
        <f>'통장내역(환율표)'!$D$257</f>
        <v>7.2945000448994257</v>
      </c>
      <c r="M80" s="1012">
        <f t="shared" si="15"/>
        <v>41.126876160590427</v>
      </c>
      <c r="N80" s="1009">
        <f t="shared" si="5"/>
        <v>269596.62000000046</v>
      </c>
      <c r="O80" s="1009">
        <f t="shared" si="6"/>
        <v>36962.532586335677</v>
      </c>
      <c r="P80" s="992" t="s">
        <v>1146</v>
      </c>
      <c r="Q80" s="713"/>
      <c r="R80" s="713"/>
      <c r="S80" s="963">
        <f t="shared" si="13"/>
        <v>36962.531524082682</v>
      </c>
    </row>
    <row r="81" spans="2:19" ht="11.25" customHeight="1">
      <c r="B81" s="1136">
        <v>45708</v>
      </c>
      <c r="C81" s="1046" t="s">
        <v>898</v>
      </c>
      <c r="D81" s="1003"/>
      <c r="E81" s="998">
        <v>44</v>
      </c>
      <c r="F81" s="1053" t="s">
        <v>107</v>
      </c>
      <c r="G81" s="640"/>
      <c r="H81" s="640"/>
      <c r="I81" s="640"/>
      <c r="J81" s="640"/>
      <c r="K81" s="999">
        <v>25750</v>
      </c>
      <c r="L81" s="612">
        <f>'통장내역(환율표)'!$D$257</f>
        <v>7.2945000448994257</v>
      </c>
      <c r="M81" s="1012">
        <f t="shared" si="15"/>
        <v>3530.0568704506786</v>
      </c>
      <c r="N81" s="1009">
        <f t="shared" si="5"/>
        <v>243846.62000000046</v>
      </c>
      <c r="O81" s="1009">
        <f t="shared" si="6"/>
        <v>33432.475715884997</v>
      </c>
      <c r="P81" s="992" t="s">
        <v>1146</v>
      </c>
      <c r="Q81" s="713"/>
      <c r="R81" s="713"/>
      <c r="S81" s="963">
        <f t="shared" si="13"/>
        <v>33432.474653632002</v>
      </c>
    </row>
    <row r="82" spans="2:19" ht="11.25" customHeight="1">
      <c r="B82" s="1136">
        <v>45708</v>
      </c>
      <c r="C82" s="1046" t="s">
        <v>948</v>
      </c>
      <c r="D82" s="1063"/>
      <c r="E82" s="998">
        <v>44</v>
      </c>
      <c r="F82" s="1053" t="s">
        <v>107</v>
      </c>
      <c r="G82" s="640"/>
      <c r="H82" s="640"/>
      <c r="I82" s="640"/>
      <c r="J82" s="640"/>
      <c r="K82" s="999">
        <v>7431.44</v>
      </c>
      <c r="L82" s="612">
        <f>'통장내역(환율표)'!$D$257</f>
        <v>7.2945000448994257</v>
      </c>
      <c r="M82" s="1012">
        <f t="shared" si="15"/>
        <v>1018.7730419161937</v>
      </c>
      <c r="N82" s="1009">
        <f t="shared" si="5"/>
        <v>236415.18000000046</v>
      </c>
      <c r="O82" s="1009">
        <f t="shared" si="6"/>
        <v>32413.702673968804</v>
      </c>
      <c r="P82" s="992" t="s">
        <v>1146</v>
      </c>
      <c r="Q82" s="713"/>
      <c r="R82" s="713"/>
      <c r="S82" s="963">
        <f t="shared" si="13"/>
        <v>32413.701611715809</v>
      </c>
    </row>
    <row r="83" spans="2:19" ht="11.25" customHeight="1">
      <c r="B83" s="1136">
        <v>45708</v>
      </c>
      <c r="C83" s="997" t="s">
        <v>899</v>
      </c>
      <c r="D83" s="1063"/>
      <c r="E83" s="998">
        <v>44</v>
      </c>
      <c r="F83" s="1053" t="s">
        <v>107</v>
      </c>
      <c r="G83" s="640"/>
      <c r="H83" s="640"/>
      <c r="I83" s="640"/>
      <c r="J83" s="640"/>
      <c r="K83" s="999">
        <v>300</v>
      </c>
      <c r="L83" s="612">
        <f>'통장내역(환율표)'!$D$257</f>
        <v>7.2945000448994257</v>
      </c>
      <c r="M83" s="1012">
        <f t="shared" si="15"/>
        <v>41.126876160590427</v>
      </c>
      <c r="N83" s="1009">
        <f t="shared" si="5"/>
        <v>236115.18000000046</v>
      </c>
      <c r="O83" s="1009">
        <f t="shared" si="6"/>
        <v>32372.575797808215</v>
      </c>
      <c r="P83" s="992" t="s">
        <v>1146</v>
      </c>
      <c r="Q83" s="713"/>
      <c r="R83" s="713"/>
      <c r="S83" s="963">
        <f t="shared" si="13"/>
        <v>32372.574735555219</v>
      </c>
    </row>
    <row r="84" spans="2:19" ht="11.25" customHeight="1">
      <c r="B84" s="1136">
        <v>45708</v>
      </c>
      <c r="C84" s="1046" t="s">
        <v>992</v>
      </c>
      <c r="D84" s="1063"/>
      <c r="E84" s="998">
        <v>44</v>
      </c>
      <c r="F84" s="1053" t="s">
        <v>107</v>
      </c>
      <c r="G84" s="640"/>
      <c r="H84" s="640"/>
      <c r="I84" s="640"/>
      <c r="J84" s="640"/>
      <c r="K84" s="999">
        <v>300</v>
      </c>
      <c r="L84" s="612">
        <f>'통장내역(환율표)'!$D$257</f>
        <v>7.2945000448994257</v>
      </c>
      <c r="M84" s="1012">
        <f t="shared" si="15"/>
        <v>41.126876160590427</v>
      </c>
      <c r="N84" s="1009">
        <f t="shared" si="5"/>
        <v>235815.18000000046</v>
      </c>
      <c r="O84" s="1009">
        <f t="shared" si="6"/>
        <v>32331.448921647625</v>
      </c>
      <c r="P84" s="992" t="s">
        <v>1146</v>
      </c>
      <c r="Q84" s="713"/>
      <c r="R84" s="713"/>
      <c r="S84" s="963">
        <f t="shared" si="13"/>
        <v>32331.44785939463</v>
      </c>
    </row>
    <row r="85" spans="2:19" ht="11.25" customHeight="1">
      <c r="B85" s="1136">
        <v>45708</v>
      </c>
      <c r="C85" s="1046" t="s">
        <v>898</v>
      </c>
      <c r="D85" s="1063"/>
      <c r="E85" s="998">
        <v>44</v>
      </c>
      <c r="F85" s="1053" t="s">
        <v>107</v>
      </c>
      <c r="G85" s="640"/>
      <c r="H85" s="640"/>
      <c r="I85" s="640"/>
      <c r="J85" s="640"/>
      <c r="K85" s="999">
        <v>13390</v>
      </c>
      <c r="L85" s="612">
        <f>'통장내역(환율표)'!$D$257</f>
        <v>7.2945000448994257</v>
      </c>
      <c r="M85" s="1012">
        <f t="shared" si="15"/>
        <v>1835.6295726343528</v>
      </c>
      <c r="N85" s="1009">
        <f t="shared" ref="N85:N97" si="16">N84+H85-K85</f>
        <v>222425.18000000046</v>
      </c>
      <c r="O85" s="1009">
        <f t="shared" ref="O85:O97" si="17">O84+J85-M85</f>
        <v>30495.819349013273</v>
      </c>
      <c r="P85" s="992" t="s">
        <v>1146</v>
      </c>
      <c r="Q85" s="713"/>
      <c r="R85" s="713"/>
      <c r="S85" s="963">
        <f t="shared" si="13"/>
        <v>30495.818286760277</v>
      </c>
    </row>
    <row r="86" spans="2:19" ht="11.25" customHeight="1">
      <c r="B86" s="1136">
        <v>45708</v>
      </c>
      <c r="C86" s="1046" t="s">
        <v>1118</v>
      </c>
      <c r="D86" s="1002"/>
      <c r="E86" s="998">
        <v>44</v>
      </c>
      <c r="F86" s="640" t="s">
        <v>1439</v>
      </c>
      <c r="G86" s="640" t="s">
        <v>1293</v>
      </c>
      <c r="H86" s="640"/>
      <c r="I86" s="640"/>
      <c r="J86" s="640"/>
      <c r="K86" s="999">
        <v>19074</v>
      </c>
      <c r="L86" s="612">
        <f>'통장내역(환율표)'!$D$257</f>
        <v>7.2945000448994257</v>
      </c>
      <c r="M86" s="1012">
        <f t="shared" si="15"/>
        <v>2614.8467862903394</v>
      </c>
      <c r="N86" s="1009">
        <f t="shared" si="16"/>
        <v>203351.18000000046</v>
      </c>
      <c r="O86" s="1009">
        <f t="shared" si="17"/>
        <v>27880.972562722935</v>
      </c>
      <c r="P86" s="992" t="s">
        <v>1146</v>
      </c>
      <c r="Q86" s="713"/>
      <c r="R86" s="713"/>
      <c r="S86" s="963">
        <f t="shared" si="13"/>
        <v>27880.971500469939</v>
      </c>
    </row>
    <row r="87" spans="2:19" ht="11.25" customHeight="1">
      <c r="B87" s="1136">
        <v>45708</v>
      </c>
      <c r="C87" s="1046" t="s">
        <v>948</v>
      </c>
      <c r="D87" s="1002"/>
      <c r="E87" s="998">
        <v>44</v>
      </c>
      <c r="F87" s="1053" t="s">
        <v>107</v>
      </c>
      <c r="G87" s="640"/>
      <c r="H87" s="640"/>
      <c r="I87" s="640"/>
      <c r="J87" s="640"/>
      <c r="K87" s="999">
        <v>3281.57</v>
      </c>
      <c r="L87" s="612">
        <f>'통장내역(환율표)'!$D$257</f>
        <v>7.2945000448994257</v>
      </c>
      <c r="M87" s="1012">
        <f t="shared" si="15"/>
        <v>449.86907667436247</v>
      </c>
      <c r="N87" s="1009">
        <f t="shared" si="16"/>
        <v>200069.61000000045</v>
      </c>
      <c r="O87" s="1009">
        <f t="shared" si="17"/>
        <v>27431.103486048571</v>
      </c>
      <c r="P87" s="992" t="s">
        <v>1146</v>
      </c>
      <c r="Q87" s="713"/>
      <c r="R87" s="713"/>
      <c r="S87" s="963">
        <f t="shared" si="13"/>
        <v>27431.102423795575</v>
      </c>
    </row>
    <row r="88" spans="2:19" ht="11.25" customHeight="1">
      <c r="B88" s="1136">
        <v>45708</v>
      </c>
      <c r="C88" s="1046" t="s">
        <v>899</v>
      </c>
      <c r="D88" s="1002"/>
      <c r="E88" s="998">
        <v>44</v>
      </c>
      <c r="F88" s="1053" t="s">
        <v>107</v>
      </c>
      <c r="G88" s="640"/>
      <c r="H88" s="640"/>
      <c r="I88" s="640"/>
      <c r="J88" s="640"/>
      <c r="K88" s="999">
        <v>300</v>
      </c>
      <c r="L88" s="612">
        <f>'통장내역(환율표)'!$D$257</f>
        <v>7.2945000448994257</v>
      </c>
      <c r="M88" s="1012">
        <f t="shared" si="15"/>
        <v>41.126876160590427</v>
      </c>
      <c r="N88" s="1009">
        <f t="shared" si="16"/>
        <v>199769.61000000045</v>
      </c>
      <c r="O88" s="1009">
        <f t="shared" si="17"/>
        <v>27389.976609887981</v>
      </c>
      <c r="P88" s="992" t="s">
        <v>1146</v>
      </c>
      <c r="Q88" s="713"/>
      <c r="R88" s="713"/>
      <c r="S88" s="963">
        <f t="shared" si="13"/>
        <v>27389.975547634986</v>
      </c>
    </row>
    <row r="89" spans="2:19" ht="11.25" customHeight="1">
      <c r="B89" s="1136">
        <v>45708</v>
      </c>
      <c r="C89" s="1046" t="s">
        <v>898</v>
      </c>
      <c r="D89" s="1002"/>
      <c r="E89" s="998">
        <v>44</v>
      </c>
      <c r="F89" s="1053" t="s">
        <v>107</v>
      </c>
      <c r="G89" s="640"/>
      <c r="H89" s="640"/>
      <c r="I89" s="640"/>
      <c r="J89" s="640"/>
      <c r="K89" s="999">
        <v>25750</v>
      </c>
      <c r="L89" s="612">
        <f>'통장내역(환율표)'!$D$257</f>
        <v>7.2945000448994257</v>
      </c>
      <c r="M89" s="1012">
        <f t="shared" si="15"/>
        <v>3530.0568704506786</v>
      </c>
      <c r="N89" s="1009">
        <f t="shared" si="16"/>
        <v>174019.61000000045</v>
      </c>
      <c r="O89" s="1009">
        <f t="shared" si="17"/>
        <v>23859.919739437304</v>
      </c>
      <c r="P89" s="992" t="s">
        <v>1146</v>
      </c>
      <c r="Q89" s="713"/>
      <c r="R89" s="713"/>
      <c r="S89" s="963">
        <f t="shared" si="13"/>
        <v>23859.918677184309</v>
      </c>
    </row>
    <row r="90" spans="2:19" ht="11.25" customHeight="1">
      <c r="B90" s="1136">
        <v>45708</v>
      </c>
      <c r="C90" s="1046" t="s">
        <v>1118</v>
      </c>
      <c r="D90" s="1002"/>
      <c r="E90" s="998">
        <v>44</v>
      </c>
      <c r="F90" s="640" t="s">
        <v>1439</v>
      </c>
      <c r="G90" s="640" t="s">
        <v>1293</v>
      </c>
      <c r="H90" s="640"/>
      <c r="I90" s="640"/>
      <c r="J90" s="640"/>
      <c r="K90" s="999">
        <v>37705</v>
      </c>
      <c r="L90" s="612">
        <f>'통장내역(환율표)'!$D$257</f>
        <v>7.2945000448994257</v>
      </c>
      <c r="M90" s="1012">
        <f t="shared" si="15"/>
        <v>5168.9628854502071</v>
      </c>
      <c r="N90" s="1009">
        <f t="shared" si="16"/>
        <v>136314.61000000045</v>
      </c>
      <c r="O90" s="1009">
        <f t="shared" si="17"/>
        <v>18690.956853987096</v>
      </c>
      <c r="P90" s="992" t="s">
        <v>1146</v>
      </c>
      <c r="Q90" s="713"/>
      <c r="R90" s="713"/>
      <c r="S90" s="963">
        <f t="shared" si="13"/>
        <v>18690.955791734101</v>
      </c>
    </row>
    <row r="91" spans="2:19" ht="11.25" customHeight="1">
      <c r="B91" s="1136">
        <v>45708</v>
      </c>
      <c r="C91" s="1046" t="s">
        <v>948</v>
      </c>
      <c r="D91" s="1002"/>
      <c r="E91" s="998">
        <v>44</v>
      </c>
      <c r="F91" s="1053" t="s">
        <v>107</v>
      </c>
      <c r="G91" s="640"/>
      <c r="H91" s="640"/>
      <c r="I91" s="640"/>
      <c r="J91" s="640"/>
      <c r="K91" s="999">
        <v>7431.44</v>
      </c>
      <c r="L91" s="612">
        <f>'통장내역(환율표)'!$D$257</f>
        <v>7.2945000448994257</v>
      </c>
      <c r="M91" s="1012">
        <f t="shared" si="15"/>
        <v>1018.7730419161937</v>
      </c>
      <c r="N91" s="1009">
        <f t="shared" si="16"/>
        <v>128883.17000000045</v>
      </c>
      <c r="O91" s="1009">
        <f t="shared" si="17"/>
        <v>17672.183812070904</v>
      </c>
      <c r="P91" s="992" t="s">
        <v>1146</v>
      </c>
      <c r="Q91" s="713"/>
      <c r="R91" s="713"/>
      <c r="S91" s="963">
        <f t="shared" si="13"/>
        <v>17672.182749817908</v>
      </c>
    </row>
    <row r="92" spans="2:19" ht="11.25" customHeight="1">
      <c r="B92" s="1136">
        <v>45708</v>
      </c>
      <c r="C92" s="1046" t="s">
        <v>899</v>
      </c>
      <c r="D92" s="1002"/>
      <c r="E92" s="998">
        <v>44</v>
      </c>
      <c r="F92" s="1053" t="s">
        <v>107</v>
      </c>
      <c r="G92" s="640"/>
      <c r="H92" s="640"/>
      <c r="I92" s="640"/>
      <c r="J92" s="640"/>
      <c r="K92" s="999">
        <v>300</v>
      </c>
      <c r="L92" s="612">
        <f>'통장내역(환율표)'!$D$257</f>
        <v>7.2945000448994257</v>
      </c>
      <c r="M92" s="1012">
        <f t="shared" si="15"/>
        <v>41.126876160590427</v>
      </c>
      <c r="N92" s="1009">
        <f t="shared" si="16"/>
        <v>128583.17000000045</v>
      </c>
      <c r="O92" s="1009">
        <f t="shared" si="17"/>
        <v>17631.056935910314</v>
      </c>
      <c r="P92" s="992" t="s">
        <v>1146</v>
      </c>
      <c r="Q92" s="713"/>
      <c r="R92" s="713"/>
      <c r="S92" s="963">
        <f t="shared" si="13"/>
        <v>17631.055873657318</v>
      </c>
    </row>
    <row r="93" spans="2:19" ht="11.25" customHeight="1">
      <c r="B93" s="1136">
        <v>45708</v>
      </c>
      <c r="C93" s="1046" t="s">
        <v>898</v>
      </c>
      <c r="D93" s="1002"/>
      <c r="E93" s="998">
        <v>44</v>
      </c>
      <c r="F93" s="1053" t="s">
        <v>107</v>
      </c>
      <c r="G93" s="640"/>
      <c r="H93" s="640"/>
      <c r="I93" s="640"/>
      <c r="J93" s="640"/>
      <c r="K93" s="999">
        <v>21300</v>
      </c>
      <c r="L93" s="612">
        <f>'통장내역(환율표)'!$D$257</f>
        <v>7.2945000448994257</v>
      </c>
      <c r="M93" s="1012">
        <f t="shared" si="15"/>
        <v>2920.0082074019206</v>
      </c>
      <c r="N93" s="1009">
        <f t="shared" si="16"/>
        <v>107283.17000000045</v>
      </c>
      <c r="O93" s="1009">
        <f t="shared" si="17"/>
        <v>14711.048728508393</v>
      </c>
      <c r="P93" s="992" t="s">
        <v>1146</v>
      </c>
      <c r="Q93" s="713"/>
      <c r="R93" s="713"/>
      <c r="S93" s="963">
        <f t="shared" si="13"/>
        <v>14711.047666255397</v>
      </c>
    </row>
    <row r="94" spans="2:19" ht="11.25" customHeight="1">
      <c r="B94" s="1136">
        <v>45708</v>
      </c>
      <c r="C94" s="1046" t="s">
        <v>948</v>
      </c>
      <c r="D94" s="1002"/>
      <c r="E94" s="998">
        <v>44</v>
      </c>
      <c r="F94" s="1053" t="s">
        <v>107</v>
      </c>
      <c r="G94" s="640"/>
      <c r="H94" s="640"/>
      <c r="I94" s="640"/>
      <c r="J94" s="640"/>
      <c r="K94" s="999">
        <v>5941.29</v>
      </c>
      <c r="L94" s="612">
        <f>'통장내역(환율표)'!$D$257</f>
        <v>7.2945000448994257</v>
      </c>
      <c r="M94" s="1012">
        <f t="shared" si="15"/>
        <v>814.48899354718105</v>
      </c>
      <c r="N94" s="1009">
        <f t="shared" si="16"/>
        <v>101341.88000000046</v>
      </c>
      <c r="O94" s="1009">
        <f t="shared" si="17"/>
        <v>13896.559734961211</v>
      </c>
      <c r="P94" s="992" t="s">
        <v>1146</v>
      </c>
      <c r="Q94" s="713"/>
      <c r="R94" s="713"/>
      <c r="S94" s="963">
        <f t="shared" si="13"/>
        <v>13896.558672708215</v>
      </c>
    </row>
    <row r="95" spans="2:19" ht="11.25" customHeight="1">
      <c r="B95" s="1136">
        <v>45708</v>
      </c>
      <c r="C95" s="1046" t="s">
        <v>899</v>
      </c>
      <c r="D95" s="1002"/>
      <c r="E95" s="998">
        <v>44</v>
      </c>
      <c r="F95" s="1053" t="s">
        <v>107</v>
      </c>
      <c r="G95" s="640"/>
      <c r="H95" s="999"/>
      <c r="I95" s="612"/>
      <c r="J95" s="1025"/>
      <c r="K95" s="999">
        <v>300</v>
      </c>
      <c r="L95" s="612">
        <f>'통장내역(환율표)'!$D$257</f>
        <v>7.2945000448994257</v>
      </c>
      <c r="M95" s="1012">
        <f t="shared" si="15"/>
        <v>41.126876160590427</v>
      </c>
      <c r="N95" s="1009">
        <f t="shared" si="16"/>
        <v>101041.88000000046</v>
      </c>
      <c r="O95" s="1009">
        <f t="shared" si="17"/>
        <v>13855.432858800621</v>
      </c>
      <c r="P95" s="992" t="s">
        <v>1146</v>
      </c>
      <c r="Q95" s="713"/>
      <c r="R95" s="713"/>
      <c r="S95" s="963">
        <f t="shared" si="13"/>
        <v>13855.431796547626</v>
      </c>
    </row>
    <row r="96" spans="2:19" ht="11.25" customHeight="1">
      <c r="B96" s="1136">
        <v>45708</v>
      </c>
      <c r="C96" s="1046" t="s">
        <v>992</v>
      </c>
      <c r="D96" s="1002"/>
      <c r="E96" s="998">
        <v>44</v>
      </c>
      <c r="F96" s="1053" t="s">
        <v>107</v>
      </c>
      <c r="G96" s="640"/>
      <c r="H96" s="640"/>
      <c r="I96" s="640"/>
      <c r="J96" s="640"/>
      <c r="K96" s="675">
        <v>200</v>
      </c>
      <c r="L96" s="612">
        <f>'통장내역(환율표)'!$D$257</f>
        <v>7.2945000448994257</v>
      </c>
      <c r="M96" s="1012">
        <f t="shared" si="15"/>
        <v>27.417917440393619</v>
      </c>
      <c r="N96" s="1009">
        <f t="shared" si="16"/>
        <v>100841.88000000046</v>
      </c>
      <c r="O96" s="1009">
        <f t="shared" si="17"/>
        <v>13828.014941360227</v>
      </c>
      <c r="P96" s="992" t="s">
        <v>1146</v>
      </c>
      <c r="Q96" s="713"/>
      <c r="R96" s="713"/>
      <c r="S96" s="963">
        <f t="shared" si="13"/>
        <v>13828.013879107231</v>
      </c>
    </row>
    <row r="97" spans="2:19" ht="11.25" customHeight="1">
      <c r="B97" s="639">
        <v>45708</v>
      </c>
      <c r="C97" s="997" t="s">
        <v>250</v>
      </c>
      <c r="D97" s="1002"/>
      <c r="E97" s="998">
        <v>45</v>
      </c>
      <c r="F97" s="1053" t="s">
        <v>107</v>
      </c>
      <c r="G97" s="640"/>
      <c r="H97" s="640"/>
      <c r="I97" s="640"/>
      <c r="J97" s="640"/>
      <c r="K97" s="999">
        <v>12</v>
      </c>
      <c r="L97" s="612">
        <f>'통장내역(환율표)'!$D$257</f>
        <v>7.2945000448994257</v>
      </c>
      <c r="M97" s="1012">
        <f t="shared" si="15"/>
        <v>1.6450750464236172</v>
      </c>
      <c r="N97" s="1009">
        <f t="shared" si="16"/>
        <v>100829.88000000046</v>
      </c>
      <c r="O97" s="1009">
        <f t="shared" si="17"/>
        <v>13826.369866313804</v>
      </c>
      <c r="P97" s="992" t="s">
        <v>1146</v>
      </c>
      <c r="Q97" s="713"/>
      <c r="R97" s="713"/>
      <c r="S97" s="963">
        <f t="shared" si="13"/>
        <v>13826.368804060809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5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44" activePane="bottomLeft" state="frozen"/>
      <selection activeCell="N87" sqref="N87"/>
      <selection pane="bottomLeft" activeCell="F49" sqref="F49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90" customWidth="1"/>
    <col min="4" max="4" width="9.75" style="531" customWidth="1"/>
    <col min="5" max="5" width="12.125" style="531" customWidth="1"/>
    <col min="6" max="6" width="12.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971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1455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1447</v>
      </c>
      <c r="C3" s="547"/>
      <c r="D3" s="547"/>
      <c r="E3" s="547"/>
      <c r="F3" s="1064">
        <v>1447.4</v>
      </c>
      <c r="G3" s="550"/>
      <c r="H3" s="546" t="s">
        <v>1449</v>
      </c>
      <c r="I3" s="547"/>
      <c r="K3" s="1155"/>
      <c r="L3" s="1064">
        <v>1446.3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14845.68</v>
      </c>
      <c r="E5" s="566">
        <v>2035.1825499303366</v>
      </c>
      <c r="F5" s="567">
        <f>ROUND(E5*$F$3,0)</f>
        <v>2945723</v>
      </c>
      <c r="G5" s="568"/>
      <c r="H5" s="569" t="s">
        <v>11</v>
      </c>
      <c r="I5" s="569" t="s">
        <v>12</v>
      </c>
      <c r="J5" s="766"/>
      <c r="K5" s="1156"/>
      <c r="L5" s="723">
        <f>ROUND(K5*$L$3,0)</f>
        <v>0</v>
      </c>
      <c r="M5" s="970">
        <f>L5+F5</f>
        <v>2945723</v>
      </c>
      <c r="N5" s="546"/>
      <c r="O5" s="546"/>
      <c r="P5" s="546"/>
      <c r="Q5" s="546"/>
      <c r="R5" s="546"/>
      <c r="S5" s="1117">
        <f>F5+L5+R5</f>
        <v>2945723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18459.27</v>
      </c>
      <c r="E6" s="570">
        <v>2530.5737043496733</v>
      </c>
      <c r="F6" s="567">
        <f t="shared" ref="F6:F12" si="0">ROUND(E6*$F$3,0)</f>
        <v>3662752</v>
      </c>
      <c r="G6" s="572"/>
      <c r="H6" s="569" t="s">
        <v>13</v>
      </c>
      <c r="I6" s="569" t="s">
        <v>14</v>
      </c>
      <c r="J6" s="766">
        <v>18692.93</v>
      </c>
      <c r="K6" s="1156">
        <v>2589.84</v>
      </c>
      <c r="L6" s="723">
        <f t="shared" ref="L6:L12" si="1">ROUND(K6*$L$3,0)</f>
        <v>3745686</v>
      </c>
      <c r="M6" s="970">
        <f t="shared" ref="M6:M13" si="2">L6+F6</f>
        <v>7408438</v>
      </c>
      <c r="N6" s="546"/>
      <c r="O6" s="546"/>
      <c r="P6" s="546"/>
      <c r="Q6" s="546"/>
      <c r="R6" s="546"/>
      <c r="S6" s="1117">
        <f t="shared" ref="S6:S13" si="3">F6+L6+R6</f>
        <v>7408438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25272</v>
      </c>
      <c r="E7" s="570">
        <v>3464.53</v>
      </c>
      <c r="F7" s="567">
        <f t="shared" si="0"/>
        <v>5014561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70">
        <f t="shared" si="2"/>
        <v>5014561</v>
      </c>
      <c r="N7" s="546"/>
      <c r="O7" s="546"/>
      <c r="P7" s="546"/>
      <c r="Q7" s="546"/>
      <c r="R7" s="546"/>
      <c r="S7" s="1117">
        <f t="shared" si="3"/>
        <v>5014561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2399.0700000000002</v>
      </c>
      <c r="F8" s="567">
        <f t="shared" si="0"/>
        <v>3472414</v>
      </c>
      <c r="G8" s="573"/>
      <c r="H8" s="569" t="s">
        <v>15</v>
      </c>
      <c r="I8" s="564" t="s">
        <v>17</v>
      </c>
      <c r="J8" s="767"/>
      <c r="K8" s="1157"/>
      <c r="L8" s="723">
        <f t="shared" si="1"/>
        <v>0</v>
      </c>
      <c r="M8" s="970">
        <f t="shared" si="2"/>
        <v>3472414</v>
      </c>
      <c r="N8" s="546"/>
      <c r="O8" s="546"/>
      <c r="P8" s="546"/>
      <c r="Q8" s="546"/>
      <c r="R8" s="546"/>
      <c r="S8" s="1117">
        <f t="shared" si="3"/>
        <v>3472414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1453.59</v>
      </c>
      <c r="E9" s="570">
        <v>199.2720530609088</v>
      </c>
      <c r="F9" s="567">
        <f t="shared" si="0"/>
        <v>288426</v>
      </c>
      <c r="G9" s="574"/>
      <c r="H9" s="569" t="s">
        <v>19</v>
      </c>
      <c r="I9" s="564" t="s">
        <v>20</v>
      </c>
      <c r="J9" s="766">
        <v>169</v>
      </c>
      <c r="K9" s="1156">
        <v>23.41</v>
      </c>
      <c r="L9" s="723">
        <f t="shared" si="1"/>
        <v>33858</v>
      </c>
      <c r="M9" s="970">
        <f t="shared" si="2"/>
        <v>322284</v>
      </c>
      <c r="N9" s="546"/>
      <c r="O9" s="546"/>
      <c r="P9" s="546"/>
      <c r="Q9" s="546"/>
      <c r="R9" s="546"/>
      <c r="S9" s="1117">
        <f t="shared" si="3"/>
        <v>322284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23429.318660172234</v>
      </c>
      <c r="E10" s="570">
        <v>3211.9156235463793</v>
      </c>
      <c r="F10" s="567">
        <f t="shared" si="0"/>
        <v>4648927</v>
      </c>
      <c r="G10" s="575"/>
      <c r="H10" s="569" t="s">
        <v>21</v>
      </c>
      <c r="I10" s="569"/>
      <c r="J10" s="766">
        <v>274853.00133982772</v>
      </c>
      <c r="K10" s="1156">
        <v>38130.879999999997</v>
      </c>
      <c r="L10" s="723">
        <f t="shared" si="1"/>
        <v>55148692</v>
      </c>
      <c r="M10" s="970">
        <f t="shared" si="2"/>
        <v>59797619</v>
      </c>
      <c r="N10" s="546"/>
      <c r="O10" s="546"/>
      <c r="P10" s="546"/>
      <c r="Q10" s="546"/>
      <c r="R10" s="546"/>
      <c r="S10" s="1117">
        <f t="shared" si="3"/>
        <v>59797619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1447.3999546109283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70">
        <f t="shared" si="2"/>
        <v>0</v>
      </c>
      <c r="N11" s="546"/>
      <c r="O11" s="546"/>
      <c r="P11" s="546"/>
      <c r="Q11" s="546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>
        <v>103.37</v>
      </c>
      <c r="E12" s="570">
        <v>14.17</v>
      </c>
      <c r="F12" s="567">
        <f t="shared" si="0"/>
        <v>20510</v>
      </c>
      <c r="G12" s="582">
        <f>E13+Q13+AB13</f>
        <v>13826.373930887299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70">
        <f t="shared" si="2"/>
        <v>20510</v>
      </c>
      <c r="N12" s="546"/>
      <c r="O12" s="546"/>
      <c r="P12" s="546"/>
      <c r="Q12" s="546"/>
      <c r="R12" s="546"/>
      <c r="S12" s="1117">
        <f t="shared" si="3"/>
        <v>20510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100856.48866017224</v>
      </c>
      <c r="E13" s="1170">
        <f>SUM(E5:E11)-E12</f>
        <v>13826.373930887299</v>
      </c>
      <c r="F13" s="950">
        <f>SUM(F5:F11)-F12</f>
        <v>20012293</v>
      </c>
      <c r="G13" s="588">
        <f>F13+R13+AC13</f>
        <v>20012293</v>
      </c>
      <c r="H13" s="948" t="s">
        <v>22</v>
      </c>
      <c r="I13" s="949"/>
      <c r="J13" s="585">
        <f>SUM(J5:J11)-J12</f>
        <v>293714.93133982772</v>
      </c>
      <c r="K13" s="560">
        <f>SUM(K5:K11)-K12</f>
        <v>40744.129999999997</v>
      </c>
      <c r="L13" s="950">
        <f>SUM(L5:L11)-L12</f>
        <v>58928236</v>
      </c>
      <c r="M13" s="970">
        <f t="shared" si="2"/>
        <v>78940529</v>
      </c>
      <c r="N13" s="546"/>
      <c r="O13" s="546"/>
      <c r="P13" s="546"/>
      <c r="Q13" s="546"/>
      <c r="R13" s="546"/>
      <c r="S13" s="1117">
        <f t="shared" si="3"/>
        <v>78940529</v>
      </c>
      <c r="U13" s="930"/>
      <c r="X13" s="924">
        <f>F13+R13</f>
        <v>20012293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394571.41999999993</v>
      </c>
      <c r="K14" s="1160">
        <f>K13+E13+Q13</f>
        <v>54570.503930887295</v>
      </c>
      <c r="L14" s="985">
        <f>L13+F13+R13</f>
        <v>78940529</v>
      </c>
      <c r="M14" s="945">
        <f>M16-E12</f>
        <v>54570.501897104652</v>
      </c>
      <c r="N14" s="546"/>
      <c r="O14" s="546"/>
      <c r="P14" s="546"/>
      <c r="Q14" s="546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>
        <f>J16-G96</f>
        <v>0</v>
      </c>
      <c r="K15" s="945">
        <f>K16-H96</f>
        <v>394674.79</v>
      </c>
      <c r="L15" s="945">
        <f>L16-I96</f>
        <v>0</v>
      </c>
      <c r="M15" s="945">
        <f>M16-J96</f>
        <v>54584.67189710465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394674.79</v>
      </c>
      <c r="L16" s="1090"/>
      <c r="M16" s="1161">
        <f>SUBTOTAL(9,M19:M105)</f>
        <v>54584.67189710465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1" t="s">
        <v>29</v>
      </c>
      <c r="I17" s="1531"/>
      <c r="J17" s="1531"/>
      <c r="K17" s="1531" t="s">
        <v>30</v>
      </c>
      <c r="L17" s="1531"/>
      <c r="M17" s="1532"/>
      <c r="N17" s="1533" t="s">
        <v>31</v>
      </c>
      <c r="O17" s="1533"/>
      <c r="P17" s="1534"/>
      <c r="Q17" s="1534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35" t="s">
        <v>32</v>
      </c>
      <c r="Q18" s="1535"/>
      <c r="R18" s="1126" t="s">
        <v>1071</v>
      </c>
    </row>
    <row r="19" spans="1:29" ht="11.25" customHeight="1">
      <c r="B19" s="729">
        <v>45716</v>
      </c>
      <c r="C19" s="732"/>
      <c r="D19" s="730"/>
      <c r="E19" s="732"/>
      <c r="F19" s="943"/>
      <c r="G19" s="733"/>
      <c r="H19" s="734"/>
      <c r="I19" s="730"/>
      <c r="J19" s="733"/>
      <c r="K19" s="1162"/>
      <c r="L19" s="735"/>
      <c r="M19" s="987"/>
      <c r="N19" s="988">
        <v>100829.88000000046</v>
      </c>
      <c r="O19" s="988">
        <v>13826.369866313804</v>
      </c>
      <c r="P19" s="989"/>
      <c r="Q19" s="732"/>
      <c r="R19" s="737"/>
      <c r="S19" s="926">
        <v>13826.368804060809</v>
      </c>
    </row>
    <row r="20" spans="1:29" s="645" customFormat="1" ht="12" customHeight="1">
      <c r="A20" s="614"/>
      <c r="B20" s="1136">
        <v>45727</v>
      </c>
      <c r="C20" s="1045" t="s">
        <v>823</v>
      </c>
      <c r="D20" s="1003"/>
      <c r="E20" s="998">
        <v>1</v>
      </c>
      <c r="F20" s="1133"/>
      <c r="G20" s="640"/>
      <c r="H20" s="1048">
        <v>346107.95</v>
      </c>
      <c r="I20" s="1049"/>
      <c r="J20" s="1048">
        <v>48003</v>
      </c>
      <c r="K20" s="999"/>
      <c r="L20" s="612"/>
      <c r="M20" s="1168"/>
      <c r="N20" s="1009">
        <f t="shared" ref="N20:N51" si="4">N19+H20-K20</f>
        <v>446937.83000000048</v>
      </c>
      <c r="O20" s="1009">
        <f t="shared" ref="O20:O51" si="5">O19+J20-M20</f>
        <v>61829.369866313806</v>
      </c>
      <c r="P20" s="992" t="s">
        <v>1146</v>
      </c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136">
        <v>45727</v>
      </c>
      <c r="C21" s="997" t="s">
        <v>250</v>
      </c>
      <c r="D21" s="1003"/>
      <c r="E21" s="998"/>
      <c r="F21" s="1133" t="s">
        <v>107</v>
      </c>
      <c r="G21" s="640"/>
      <c r="H21" s="1067"/>
      <c r="I21" s="1049"/>
      <c r="J21" s="1067"/>
      <c r="K21" s="999"/>
      <c r="L21" s="612"/>
      <c r="M21" s="696">
        <v>51</v>
      </c>
      <c r="N21" s="1009">
        <f t="shared" si="4"/>
        <v>446937.83000000048</v>
      </c>
      <c r="O21" s="1009">
        <f t="shared" si="5"/>
        <v>61778.369866313806</v>
      </c>
      <c r="P21" s="992" t="s">
        <v>1146</v>
      </c>
      <c r="Q21" s="713"/>
      <c r="R21" s="71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45733</v>
      </c>
      <c r="C22" s="1045" t="s">
        <v>1375</v>
      </c>
      <c r="D22" s="1003"/>
      <c r="E22" s="998">
        <v>2</v>
      </c>
      <c r="F22" s="1133" t="s">
        <v>105</v>
      </c>
      <c r="G22" s="640" t="s">
        <v>76</v>
      </c>
      <c r="H22" s="1067"/>
      <c r="I22" s="1049"/>
      <c r="J22" s="1067"/>
      <c r="K22" s="1164">
        <v>25272</v>
      </c>
      <c r="L22" s="612">
        <f>'통장내역(환율표)'!$D$257</f>
        <v>7.2945000448994257</v>
      </c>
      <c r="M22" s="1172">
        <f t="shared" ref="M22:M35" si="6">K22/L22</f>
        <v>3464.5280477681376</v>
      </c>
      <c r="N22" s="1009">
        <f t="shared" si="4"/>
        <v>421665.83000000048</v>
      </c>
      <c r="O22" s="1009">
        <f t="shared" si="5"/>
        <v>58313.841818545669</v>
      </c>
      <c r="P22" s="992" t="s">
        <v>1146</v>
      </c>
      <c r="Q22" s="713"/>
      <c r="R22" s="713"/>
      <c r="S22" s="963">
        <f>S19-M22+J22</f>
        <v>10361.840756292671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45733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'통장내역(환율표)'!$D$257</f>
        <v>7.2945000448994257</v>
      </c>
      <c r="M23" s="1173">
        <f t="shared" si="6"/>
        <v>0.98704502785417025</v>
      </c>
      <c r="N23" s="1009">
        <f t="shared" si="4"/>
        <v>421658.63000000047</v>
      </c>
      <c r="O23" s="1009">
        <f t="shared" si="5"/>
        <v>58312.854773517814</v>
      </c>
      <c r="P23" s="992" t="s">
        <v>1146</v>
      </c>
      <c r="Q23" s="713"/>
      <c r="R23" s="713"/>
      <c r="S23" s="963">
        <f>S22-M23+J23</f>
        <v>10360.853711264817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45733</v>
      </c>
      <c r="C24" s="1045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1164">
        <v>1600</v>
      </c>
      <c r="L24" s="612">
        <f>'통장내역(환율표)'!$D$257</f>
        <v>7.2945000448994257</v>
      </c>
      <c r="M24" s="1173">
        <f t="shared" si="6"/>
        <v>219.34333952314896</v>
      </c>
      <c r="N24" s="1009">
        <f t="shared" si="4"/>
        <v>420058.63000000047</v>
      </c>
      <c r="O24" s="1009">
        <f t="shared" si="5"/>
        <v>58093.511433994667</v>
      </c>
      <c r="P24" s="992" t="s">
        <v>1146</v>
      </c>
      <c r="Q24" s="713"/>
      <c r="R24" s="713"/>
      <c r="S24" s="963">
        <f t="shared" ref="S24:S59" si="7">S23-M24+J24</f>
        <v>10141.510371741668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45733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'통장내역(환율표)'!$D$257</f>
        <v>7.2945000448994257</v>
      </c>
      <c r="M25" s="1173">
        <f t="shared" si="6"/>
        <v>0.49352251392708513</v>
      </c>
      <c r="N25" s="1009">
        <f t="shared" si="4"/>
        <v>420055.03000000049</v>
      </c>
      <c r="O25" s="1009">
        <f t="shared" si="5"/>
        <v>58093.01791148074</v>
      </c>
      <c r="P25" s="992" t="s">
        <v>1146</v>
      </c>
      <c r="Q25" s="713"/>
      <c r="R25" s="713"/>
      <c r="S25" s="963">
        <f t="shared" si="7"/>
        <v>10141.016849227741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45737</v>
      </c>
      <c r="C26" s="1045" t="s">
        <v>55</v>
      </c>
      <c r="D26" s="1003"/>
      <c r="E26" s="998">
        <v>6</v>
      </c>
      <c r="F26" s="1133" t="s">
        <v>60</v>
      </c>
      <c r="G26" s="640"/>
      <c r="H26" s="1165">
        <v>103.37</v>
      </c>
      <c r="I26" s="781">
        <f>'통장내역(환율표)'!$D$257</f>
        <v>7.2945000448994257</v>
      </c>
      <c r="J26" s="1163">
        <v>14.17</v>
      </c>
      <c r="K26" s="999"/>
      <c r="L26" s="612">
        <f>'통장내역(환율표)'!$D$257</f>
        <v>7.2945000448994257</v>
      </c>
      <c r="M26" s="1173">
        <f t="shared" si="6"/>
        <v>0</v>
      </c>
      <c r="N26" s="1009">
        <f t="shared" si="4"/>
        <v>420158.40000000049</v>
      </c>
      <c r="O26" s="1009">
        <f t="shared" si="5"/>
        <v>58107.187911480738</v>
      </c>
      <c r="P26" s="992" t="s">
        <v>1146</v>
      </c>
      <c r="Q26" s="713"/>
      <c r="R26" s="713"/>
      <c r="S26" s="963">
        <f t="shared" si="7"/>
        <v>10155.186849227741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45737</v>
      </c>
      <c r="C27" s="1045" t="s">
        <v>242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1164">
        <v>1010</v>
      </c>
      <c r="L27" s="612">
        <f>'통장내역(환율표)'!$D$257</f>
        <v>7.2945000448994257</v>
      </c>
      <c r="M27" s="1173">
        <f t="shared" si="6"/>
        <v>138.46048307398777</v>
      </c>
      <c r="N27" s="1009">
        <f t="shared" si="4"/>
        <v>419148.40000000049</v>
      </c>
      <c r="O27" s="1009">
        <f t="shared" si="5"/>
        <v>57968.727428406753</v>
      </c>
      <c r="P27" s="992" t="s">
        <v>1146</v>
      </c>
      <c r="Q27" s="713"/>
      <c r="R27" s="713"/>
      <c r="S27" s="963">
        <f t="shared" si="7"/>
        <v>10016.726366153753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45737</v>
      </c>
      <c r="C28" s="997" t="s">
        <v>250</v>
      </c>
      <c r="D28" s="1003"/>
      <c r="E28" s="998">
        <v>8</v>
      </c>
      <c r="F28" s="1133" t="s">
        <v>107</v>
      </c>
      <c r="G28" s="640"/>
      <c r="H28" s="1067"/>
      <c r="I28" s="1049"/>
      <c r="J28" s="1067"/>
      <c r="K28" s="1164">
        <v>3.6</v>
      </c>
      <c r="L28" s="612">
        <f>'통장내역(환율표)'!$D$257</f>
        <v>7.2945000448994257</v>
      </c>
      <c r="M28" s="1173">
        <f t="shared" si="6"/>
        <v>0.49352251392708513</v>
      </c>
      <c r="N28" s="1009">
        <f t="shared" si="4"/>
        <v>419144.80000000051</v>
      </c>
      <c r="O28" s="1009">
        <f t="shared" si="5"/>
        <v>57968.233905892826</v>
      </c>
      <c r="P28" s="992" t="s">
        <v>1146</v>
      </c>
      <c r="Q28" s="713"/>
      <c r="R28" s="713"/>
      <c r="S28" s="963">
        <f t="shared" si="7"/>
        <v>10016.232843639826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45737</v>
      </c>
      <c r="C29" s="997" t="s">
        <v>305</v>
      </c>
      <c r="D29" s="1003"/>
      <c r="E29" s="1003">
        <v>9</v>
      </c>
      <c r="F29" s="1133" t="s">
        <v>105</v>
      </c>
      <c r="G29" s="640" t="s">
        <v>227</v>
      </c>
      <c r="H29" s="1004"/>
      <c r="I29" s="1069"/>
      <c r="J29" s="1069"/>
      <c r="K29" s="999">
        <v>10500</v>
      </c>
      <c r="L29" s="612">
        <f>'통장내역(환율표)'!$D$257</f>
        <v>7.2945000448994257</v>
      </c>
      <c r="M29" s="1173">
        <f t="shared" si="6"/>
        <v>1439.440665620665</v>
      </c>
      <c r="N29" s="1009">
        <f t="shared" si="4"/>
        <v>408644.80000000051</v>
      </c>
      <c r="O29" s="1009">
        <f t="shared" si="5"/>
        <v>56528.793240272164</v>
      </c>
      <c r="P29" s="992" t="s">
        <v>1146</v>
      </c>
      <c r="Q29" s="713"/>
      <c r="R29" s="713"/>
      <c r="S29" s="963">
        <f t="shared" si="7"/>
        <v>8576.7921780191609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45737</v>
      </c>
      <c r="C30" s="997" t="s">
        <v>1116</v>
      </c>
      <c r="D30" s="1003"/>
      <c r="E30" s="1003">
        <v>9</v>
      </c>
      <c r="F30" s="1133" t="s">
        <v>107</v>
      </c>
      <c r="G30" s="640"/>
      <c r="H30" s="1004"/>
      <c r="I30" s="1069"/>
      <c r="J30" s="1069"/>
      <c r="K30" s="999">
        <v>6000</v>
      </c>
      <c r="L30" s="612">
        <f>'통장내역(환율표)'!$D$257</f>
        <v>7.2945000448994257</v>
      </c>
      <c r="M30" s="1173">
        <f t="shared" si="6"/>
        <v>822.53752321180855</v>
      </c>
      <c r="N30" s="1009">
        <f t="shared" si="4"/>
        <v>402644.80000000051</v>
      </c>
      <c r="O30" s="1009">
        <f t="shared" si="5"/>
        <v>55706.255717060354</v>
      </c>
      <c r="P30" s="992" t="s">
        <v>1146</v>
      </c>
      <c r="Q30" s="713"/>
      <c r="R30" s="713"/>
      <c r="S30" s="963">
        <f t="shared" si="7"/>
        <v>7754.2546548073524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45737</v>
      </c>
      <c r="C31" s="997" t="s">
        <v>1117</v>
      </c>
      <c r="D31" s="1003"/>
      <c r="E31" s="1003">
        <v>9</v>
      </c>
      <c r="F31" s="1133" t="s">
        <v>107</v>
      </c>
      <c r="G31" s="640"/>
      <c r="H31" s="1004"/>
      <c r="I31" s="1069"/>
      <c r="J31" s="1069"/>
      <c r="K31" s="999">
        <v>760</v>
      </c>
      <c r="L31" s="612">
        <f>'통장내역(환율표)'!$D$257</f>
        <v>7.2945000448994257</v>
      </c>
      <c r="M31" s="1173">
        <f t="shared" si="6"/>
        <v>104.18808627349576</v>
      </c>
      <c r="N31" s="1009">
        <f t="shared" si="4"/>
        <v>401884.80000000051</v>
      </c>
      <c r="O31" s="1009">
        <f t="shared" si="5"/>
        <v>55602.067630786856</v>
      </c>
      <c r="P31" s="992" t="s">
        <v>1146</v>
      </c>
      <c r="Q31" s="713"/>
      <c r="R31" s="713"/>
      <c r="S31" s="963">
        <f t="shared" si="7"/>
        <v>7650.0665685338563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45737</v>
      </c>
      <c r="C32" s="997" t="s">
        <v>305</v>
      </c>
      <c r="D32" s="1003"/>
      <c r="E32" s="1003">
        <v>9</v>
      </c>
      <c r="F32" s="1133" t="s">
        <v>105</v>
      </c>
      <c r="G32" s="640" t="s">
        <v>227</v>
      </c>
      <c r="H32" s="1004"/>
      <c r="I32" s="1069"/>
      <c r="J32" s="1069"/>
      <c r="K32" s="999">
        <v>7000</v>
      </c>
      <c r="L32" s="612">
        <f>'통장내역(환율표)'!$D$257</f>
        <v>7.2945000448994257</v>
      </c>
      <c r="M32" s="1173">
        <f t="shared" si="6"/>
        <v>959.62711041377668</v>
      </c>
      <c r="N32" s="1009">
        <f t="shared" si="4"/>
        <v>394884.80000000051</v>
      </c>
      <c r="O32" s="1009">
        <f t="shared" si="5"/>
        <v>54642.440520373078</v>
      </c>
      <c r="P32" s="992" t="s">
        <v>1146</v>
      </c>
      <c r="Q32" s="713"/>
      <c r="R32" s="713"/>
      <c r="S32" s="963">
        <f t="shared" si="7"/>
        <v>6690.4394581200795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45737</v>
      </c>
      <c r="C33" s="997" t="s">
        <v>1116</v>
      </c>
      <c r="D33" s="1003"/>
      <c r="E33" s="1003">
        <v>9</v>
      </c>
      <c r="F33" s="1133" t="s">
        <v>107</v>
      </c>
      <c r="G33" s="640"/>
      <c r="H33" s="1004"/>
      <c r="I33" s="1069"/>
      <c r="J33" s="1069"/>
      <c r="K33" s="999">
        <v>6000</v>
      </c>
      <c r="L33" s="612">
        <f>'통장내역(환율표)'!$D$257</f>
        <v>7.2945000448994257</v>
      </c>
      <c r="M33" s="1173">
        <f t="shared" si="6"/>
        <v>822.53752321180855</v>
      </c>
      <c r="N33" s="1009">
        <f t="shared" si="4"/>
        <v>388884.80000000051</v>
      </c>
      <c r="O33" s="1009">
        <f t="shared" si="5"/>
        <v>53819.902997161269</v>
      </c>
      <c r="P33" s="992" t="s">
        <v>1146</v>
      </c>
      <c r="Q33" s="713"/>
      <c r="R33" s="713"/>
      <c r="S33" s="963">
        <f t="shared" si="7"/>
        <v>5867.901934908271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45737</v>
      </c>
      <c r="C34" s="997" t="s">
        <v>1117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900</v>
      </c>
      <c r="L34" s="612">
        <f>'통장내역(환율표)'!$D$257</f>
        <v>7.2945000448994257</v>
      </c>
      <c r="M34" s="1173">
        <f t="shared" si="6"/>
        <v>123.38062848177128</v>
      </c>
      <c r="N34" s="1009">
        <f t="shared" si="4"/>
        <v>387984.80000000051</v>
      </c>
      <c r="O34" s="1009">
        <f t="shared" si="5"/>
        <v>53696.5223686795</v>
      </c>
      <c r="P34" s="992" t="s">
        <v>1146</v>
      </c>
      <c r="Q34" s="713"/>
      <c r="R34" s="713"/>
      <c r="S34" s="963">
        <f t="shared" si="7"/>
        <v>5744.5213064264999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45737</v>
      </c>
      <c r="C35" s="997" t="s">
        <v>250</v>
      </c>
      <c r="D35" s="1003"/>
      <c r="E35" s="1003">
        <v>10</v>
      </c>
      <c r="F35" s="1133" t="s">
        <v>107</v>
      </c>
      <c r="G35" s="640"/>
      <c r="H35" s="1004"/>
      <c r="I35" s="1069"/>
      <c r="J35" s="1069"/>
      <c r="K35" s="999">
        <v>7.2</v>
      </c>
      <c r="L35" s="612">
        <f>'통장내역(환율표)'!$D$257</f>
        <v>7.2945000448994257</v>
      </c>
      <c r="M35" s="1173">
        <f t="shared" si="6"/>
        <v>0.98704502785417025</v>
      </c>
      <c r="N35" s="1009">
        <f t="shared" si="4"/>
        <v>387977.6000000005</v>
      </c>
      <c r="O35" s="1009">
        <f t="shared" si="5"/>
        <v>53695.535323651646</v>
      </c>
      <c r="P35" s="992" t="s">
        <v>1146</v>
      </c>
      <c r="Q35" s="713"/>
      <c r="R35" s="713"/>
      <c r="S35" s="963">
        <f t="shared" si="7"/>
        <v>5743.5342613986459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45737</v>
      </c>
      <c r="C36" s="997" t="s">
        <v>1440</v>
      </c>
      <c r="D36" s="1003"/>
      <c r="E36" s="998">
        <v>11</v>
      </c>
      <c r="F36" s="1133" t="s">
        <v>116</v>
      </c>
      <c r="G36" s="640" t="s">
        <v>140</v>
      </c>
      <c r="H36" s="1067"/>
      <c r="I36" s="1049"/>
      <c r="J36" s="1067"/>
      <c r="K36" s="999">
        <v>419</v>
      </c>
      <c r="L36" s="612">
        <f>'통장내역(환율표)'!$D$257</f>
        <v>7.2945000448994257</v>
      </c>
      <c r="M36" s="1173">
        <v>57.44</v>
      </c>
      <c r="N36" s="1009">
        <f t="shared" si="4"/>
        <v>387558.6000000005</v>
      </c>
      <c r="O36" s="1009">
        <f t="shared" si="5"/>
        <v>53638.095323651643</v>
      </c>
      <c r="P36" s="992" t="s">
        <v>1146</v>
      </c>
      <c r="Q36" s="713"/>
      <c r="R36" s="992" t="s">
        <v>1452</v>
      </c>
      <c r="S36" s="963">
        <f t="shared" si="7"/>
        <v>5686.0942613986463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45737</v>
      </c>
      <c r="C37" s="997" t="s">
        <v>250</v>
      </c>
      <c r="D37" s="1003"/>
      <c r="E37" s="998">
        <v>12</v>
      </c>
      <c r="F37" s="1133" t="s">
        <v>107</v>
      </c>
      <c r="G37" s="640"/>
      <c r="H37" s="1067"/>
      <c r="I37" s="1049"/>
      <c r="J37" s="1067"/>
      <c r="K37" s="999">
        <v>3.6</v>
      </c>
      <c r="L37" s="612">
        <f>'통장내역(환율표)'!$D$257</f>
        <v>7.2945000448994257</v>
      </c>
      <c r="M37" s="1173">
        <f t="shared" ref="M37:M56" si="8">K37/L37</f>
        <v>0.49352251392708513</v>
      </c>
      <c r="N37" s="1009">
        <f t="shared" si="4"/>
        <v>387555.00000000052</v>
      </c>
      <c r="O37" s="1009">
        <f t="shared" si="5"/>
        <v>53637.601801137716</v>
      </c>
      <c r="P37" s="992" t="s">
        <v>1146</v>
      </c>
      <c r="Q37" s="713"/>
      <c r="R37" s="992" t="s">
        <v>1452</v>
      </c>
      <c r="S37" s="963">
        <f t="shared" si="7"/>
        <v>5685.6007388847192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45737</v>
      </c>
      <c r="C38" s="997" t="s">
        <v>1430</v>
      </c>
      <c r="D38" s="1003"/>
      <c r="E38" s="998">
        <v>13</v>
      </c>
      <c r="F38" s="1133" t="s">
        <v>146</v>
      </c>
      <c r="G38" s="640" t="s">
        <v>147</v>
      </c>
      <c r="H38" s="1067"/>
      <c r="I38" s="1049"/>
      <c r="J38" s="1067"/>
      <c r="K38" s="999">
        <v>428.18</v>
      </c>
      <c r="L38" s="612">
        <f>'통장내역(환율표)'!$D$257</f>
        <v>7.2945000448994257</v>
      </c>
      <c r="M38" s="1173">
        <f t="shared" si="8"/>
        <v>58.699019448138699</v>
      </c>
      <c r="N38" s="1009">
        <f t="shared" si="4"/>
        <v>387126.82000000053</v>
      </c>
      <c r="O38" s="1009">
        <f t="shared" si="5"/>
        <v>53578.902781689576</v>
      </c>
      <c r="P38" s="992" t="s">
        <v>1146</v>
      </c>
      <c r="Q38" s="713"/>
      <c r="R38" s="992" t="s">
        <v>1415</v>
      </c>
      <c r="S38" s="963">
        <f t="shared" si="7"/>
        <v>5626.9017194365806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45737</v>
      </c>
      <c r="C39" s="997" t="s">
        <v>1429</v>
      </c>
      <c r="D39" s="1003"/>
      <c r="E39" s="998">
        <v>14</v>
      </c>
      <c r="F39" s="1133" t="s">
        <v>146</v>
      </c>
      <c r="G39" s="640" t="s">
        <v>147</v>
      </c>
      <c r="H39" s="1067"/>
      <c r="I39" s="1049"/>
      <c r="J39" s="1067"/>
      <c r="K39" s="999">
        <v>2164.3200000000002</v>
      </c>
      <c r="L39" s="612">
        <f>'통장내역(환율표)'!$D$257</f>
        <v>7.2945000448994257</v>
      </c>
      <c r="M39" s="1173">
        <f t="shared" si="8"/>
        <v>296.7057353729636</v>
      </c>
      <c r="N39" s="1009">
        <f t="shared" si="4"/>
        <v>384962.50000000052</v>
      </c>
      <c r="O39" s="1009">
        <f t="shared" si="5"/>
        <v>53282.197046316614</v>
      </c>
      <c r="P39" s="992" t="s">
        <v>1146</v>
      </c>
      <c r="Q39" s="713"/>
      <c r="R39" s="992" t="s">
        <v>1415</v>
      </c>
      <c r="S39" s="963">
        <f t="shared" si="7"/>
        <v>5330.1959840636173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45737</v>
      </c>
      <c r="C40" s="997" t="s">
        <v>1431</v>
      </c>
      <c r="D40" s="1003"/>
      <c r="E40" s="998">
        <v>15</v>
      </c>
      <c r="F40" s="1133" t="s">
        <v>107</v>
      </c>
      <c r="G40" s="640"/>
      <c r="H40" s="1067"/>
      <c r="I40" s="1049"/>
      <c r="J40" s="1067"/>
      <c r="K40" s="999">
        <v>142.4</v>
      </c>
      <c r="L40" s="612">
        <f>'통장내역(환율표)'!$D$257</f>
        <v>7.2945000448994257</v>
      </c>
      <c r="M40" s="1173">
        <f t="shared" si="8"/>
        <v>19.521557217560257</v>
      </c>
      <c r="N40" s="1009">
        <f t="shared" si="4"/>
        <v>384820.1000000005</v>
      </c>
      <c r="O40" s="1009">
        <f t="shared" si="5"/>
        <v>53262.675489099056</v>
      </c>
      <c r="P40" s="992" t="s">
        <v>1146</v>
      </c>
      <c r="Q40" s="713"/>
      <c r="R40" s="992" t="s">
        <v>1415</v>
      </c>
      <c r="S40" s="963">
        <f t="shared" si="7"/>
        <v>5310.674426846057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45737</v>
      </c>
      <c r="C41" s="997" t="s">
        <v>19</v>
      </c>
      <c r="D41" s="1003"/>
      <c r="E41" s="998">
        <v>16</v>
      </c>
      <c r="F41" s="1133" t="s">
        <v>116</v>
      </c>
      <c r="G41" s="640" t="s">
        <v>140</v>
      </c>
      <c r="H41" s="1067"/>
      <c r="I41" s="1049"/>
      <c r="J41" s="1067"/>
      <c r="K41" s="999">
        <v>118.8</v>
      </c>
      <c r="L41" s="612">
        <f>'통장내역(환율표)'!$D$257</f>
        <v>7.2945000448994257</v>
      </c>
      <c r="M41" s="1173">
        <f t="shared" si="8"/>
        <v>16.28624295959381</v>
      </c>
      <c r="N41" s="1009">
        <f t="shared" si="4"/>
        <v>384701.30000000051</v>
      </c>
      <c r="O41" s="1009">
        <f t="shared" si="5"/>
        <v>53246.389246139464</v>
      </c>
      <c r="P41" s="992" t="s">
        <v>1146</v>
      </c>
      <c r="Q41" s="713"/>
      <c r="R41" s="992" t="s">
        <v>1415</v>
      </c>
      <c r="S41" s="963">
        <f t="shared" si="7"/>
        <v>5294.3881838864636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45737</v>
      </c>
      <c r="C42" s="997" t="s">
        <v>250</v>
      </c>
      <c r="D42" s="1003"/>
      <c r="E42" s="998">
        <v>17</v>
      </c>
      <c r="F42" s="1133" t="s">
        <v>107</v>
      </c>
      <c r="G42" s="640"/>
      <c r="H42" s="1067"/>
      <c r="I42" s="1049"/>
      <c r="J42" s="1067"/>
      <c r="K42" s="999">
        <v>3.6</v>
      </c>
      <c r="L42" s="612">
        <f>'통장내역(환율표)'!$D$257</f>
        <v>7.2945000448994257</v>
      </c>
      <c r="M42" s="1173">
        <f t="shared" si="8"/>
        <v>0.49352251392708513</v>
      </c>
      <c r="N42" s="1009">
        <f t="shared" si="4"/>
        <v>384697.70000000054</v>
      </c>
      <c r="O42" s="1009">
        <f t="shared" si="5"/>
        <v>53245.895723625537</v>
      </c>
      <c r="P42" s="992" t="s">
        <v>1146</v>
      </c>
      <c r="Q42" s="713"/>
      <c r="R42" s="992" t="s">
        <v>1415</v>
      </c>
      <c r="S42" s="963">
        <f t="shared" si="7"/>
        <v>5293.8946613725366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45737</v>
      </c>
      <c r="C43" s="997" t="s">
        <v>1429</v>
      </c>
      <c r="D43" s="1003"/>
      <c r="E43" s="998">
        <v>18</v>
      </c>
      <c r="F43" s="1133" t="s">
        <v>146</v>
      </c>
      <c r="G43" s="640" t="s">
        <v>147</v>
      </c>
      <c r="H43" s="1067"/>
      <c r="I43" s="1049"/>
      <c r="J43" s="1067"/>
      <c r="K43" s="999">
        <v>6566.89</v>
      </c>
      <c r="L43" s="612">
        <f>'통장내역(환율표)'!$D$257</f>
        <v>7.2945000448994257</v>
      </c>
      <c r="M43" s="1173">
        <f t="shared" si="8"/>
        <v>900.2522393007323</v>
      </c>
      <c r="N43" s="1009">
        <f t="shared" si="4"/>
        <v>378130.81000000052</v>
      </c>
      <c r="O43" s="1009">
        <f t="shared" si="5"/>
        <v>52345.643484324806</v>
      </c>
      <c r="P43" s="992" t="s">
        <v>1146</v>
      </c>
      <c r="Q43" s="713"/>
      <c r="R43" s="992" t="s">
        <v>1416</v>
      </c>
      <c r="S43" s="963">
        <f t="shared" si="7"/>
        <v>4393.6424220718045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45737</v>
      </c>
      <c r="C44" s="997" t="s">
        <v>127</v>
      </c>
      <c r="D44" s="1003"/>
      <c r="E44" s="998">
        <v>19</v>
      </c>
      <c r="F44" s="1133" t="s">
        <v>146</v>
      </c>
      <c r="G44" s="640" t="s">
        <v>147</v>
      </c>
      <c r="H44" s="1067"/>
      <c r="I44" s="1049"/>
      <c r="J44" s="1067"/>
      <c r="K44" s="1138">
        <v>385.71</v>
      </c>
      <c r="L44" s="612">
        <f>'통장내역(환율표)'!$D$257</f>
        <v>7.2945000448994257</v>
      </c>
      <c r="M44" s="1173">
        <f t="shared" si="8"/>
        <v>52.87682467967111</v>
      </c>
      <c r="N44" s="1009">
        <f t="shared" si="4"/>
        <v>377745.1000000005</v>
      </c>
      <c r="O44" s="1009">
        <f t="shared" si="5"/>
        <v>52292.766659645138</v>
      </c>
      <c r="P44" s="992" t="s">
        <v>1146</v>
      </c>
      <c r="Q44" s="713"/>
      <c r="R44" s="992" t="s">
        <v>1416</v>
      </c>
      <c r="S44" s="963">
        <f t="shared" si="7"/>
        <v>4340.7655973921337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45737</v>
      </c>
      <c r="C45" s="997" t="s">
        <v>19</v>
      </c>
      <c r="D45" s="1003"/>
      <c r="E45" s="998">
        <v>20</v>
      </c>
      <c r="F45" s="1133" t="s">
        <v>116</v>
      </c>
      <c r="G45" s="640" t="s">
        <v>140</v>
      </c>
      <c r="H45" s="1067"/>
      <c r="I45" s="1049"/>
      <c r="J45" s="1067"/>
      <c r="K45" s="999">
        <v>316.79000000000002</v>
      </c>
      <c r="L45" s="612">
        <f>'통장내역(환율표)'!$D$257</f>
        <v>7.2945000448994257</v>
      </c>
      <c r="M45" s="1173">
        <f t="shared" si="8"/>
        <v>43.428610329711475</v>
      </c>
      <c r="N45" s="1009">
        <f t="shared" si="4"/>
        <v>377428.31000000052</v>
      </c>
      <c r="O45" s="1009">
        <f t="shared" si="5"/>
        <v>52249.338049315425</v>
      </c>
      <c r="P45" s="992" t="s">
        <v>1146</v>
      </c>
      <c r="Q45" s="713"/>
      <c r="R45" s="992" t="s">
        <v>1416</v>
      </c>
      <c r="S45" s="963">
        <f t="shared" si="7"/>
        <v>4297.3369870624219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45737</v>
      </c>
      <c r="C46" s="997" t="s">
        <v>11</v>
      </c>
      <c r="D46" s="1003"/>
      <c r="E46" s="998">
        <v>21</v>
      </c>
      <c r="F46" s="1133" t="s">
        <v>125</v>
      </c>
      <c r="G46" s="640" t="s">
        <v>145</v>
      </c>
      <c r="H46" s="1067"/>
      <c r="I46" s="1049"/>
      <c r="J46" s="1067"/>
      <c r="K46" s="999">
        <v>97</v>
      </c>
      <c r="L46" s="612">
        <f>'통장내역(환율표)'!$D$257</f>
        <v>7.2945000448994257</v>
      </c>
      <c r="M46" s="1173">
        <f t="shared" si="8"/>
        <v>13.297689958590905</v>
      </c>
      <c r="N46" s="1009">
        <f t="shared" si="4"/>
        <v>377331.31000000052</v>
      </c>
      <c r="O46" s="1009">
        <f t="shared" si="5"/>
        <v>52236.040359356834</v>
      </c>
      <c r="P46" s="992" t="s">
        <v>1146</v>
      </c>
      <c r="Q46" s="713"/>
      <c r="R46" s="992" t="s">
        <v>1416</v>
      </c>
      <c r="S46" s="963">
        <f t="shared" si="7"/>
        <v>4284.0392971038309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45737</v>
      </c>
      <c r="C47" s="997" t="s">
        <v>1412</v>
      </c>
      <c r="D47" s="1003"/>
      <c r="E47" s="998">
        <v>22</v>
      </c>
      <c r="F47" s="1133" t="s">
        <v>107</v>
      </c>
      <c r="G47" s="640"/>
      <c r="H47" s="1067"/>
      <c r="I47" s="1049"/>
      <c r="J47" s="1067"/>
      <c r="K47" s="999">
        <v>100.4</v>
      </c>
      <c r="L47" s="612">
        <f>'통장내역(환율표)'!$D$257</f>
        <v>7.2945000448994257</v>
      </c>
      <c r="M47" s="1173">
        <f t="shared" si="8"/>
        <v>13.763794555077597</v>
      </c>
      <c r="N47" s="1009">
        <f t="shared" si="4"/>
        <v>377230.9100000005</v>
      </c>
      <c r="O47" s="1009">
        <f t="shared" si="5"/>
        <v>52222.276564801759</v>
      </c>
      <c r="P47" s="992" t="s">
        <v>1146</v>
      </c>
      <c r="Q47" s="713"/>
      <c r="R47" s="992" t="s">
        <v>1416</v>
      </c>
      <c r="S47" s="963">
        <f t="shared" si="7"/>
        <v>4270.2755025487531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45737</v>
      </c>
      <c r="C48" s="997" t="s">
        <v>250</v>
      </c>
      <c r="D48" s="1003"/>
      <c r="E48" s="998">
        <v>23</v>
      </c>
      <c r="F48" s="1133" t="s">
        <v>107</v>
      </c>
      <c r="G48" s="640"/>
      <c r="H48" s="1067"/>
      <c r="I48" s="1049"/>
      <c r="J48" s="1067"/>
      <c r="K48" s="999">
        <v>3.6</v>
      </c>
      <c r="L48" s="612">
        <f>'통장내역(환율표)'!$D$257</f>
        <v>7.2945000448994257</v>
      </c>
      <c r="M48" s="1173">
        <f t="shared" si="8"/>
        <v>0.49352251392708513</v>
      </c>
      <c r="N48" s="1009">
        <f t="shared" si="4"/>
        <v>377227.31000000052</v>
      </c>
      <c r="O48" s="1009">
        <f t="shared" si="5"/>
        <v>52221.783042287832</v>
      </c>
      <c r="P48" s="992" t="s">
        <v>1146</v>
      </c>
      <c r="Q48" s="713"/>
      <c r="R48" s="992" t="s">
        <v>1416</v>
      </c>
      <c r="S48" s="963">
        <f t="shared" si="7"/>
        <v>4269.7819800348261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45737</v>
      </c>
      <c r="C49" s="997" t="s">
        <v>1454</v>
      </c>
      <c r="D49" s="1003"/>
      <c r="E49" s="998">
        <v>24</v>
      </c>
      <c r="F49" s="1133" t="s">
        <v>146</v>
      </c>
      <c r="G49" s="640" t="s">
        <v>147</v>
      </c>
      <c r="H49" s="1067"/>
      <c r="I49" s="1049"/>
      <c r="J49" s="1067"/>
      <c r="K49" s="1138">
        <v>677.37</v>
      </c>
      <c r="L49" s="612">
        <f>'통장내역(환율표)'!$D$257</f>
        <v>7.2945000448994257</v>
      </c>
      <c r="M49" s="1173">
        <f t="shared" si="8"/>
        <v>92.860373682997135</v>
      </c>
      <c r="N49" s="1009">
        <f t="shared" si="4"/>
        <v>376549.94000000053</v>
      </c>
      <c r="O49" s="1009">
        <f t="shared" si="5"/>
        <v>52128.922668604835</v>
      </c>
      <c r="P49" s="992" t="s">
        <v>1146</v>
      </c>
      <c r="Q49" s="713"/>
      <c r="R49" s="992" t="s">
        <v>1417</v>
      </c>
      <c r="S49" s="963">
        <f t="shared" si="7"/>
        <v>4176.9216063518288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45737</v>
      </c>
      <c r="C50" s="997" t="s">
        <v>19</v>
      </c>
      <c r="D50" s="1003"/>
      <c r="E50" s="998">
        <v>25</v>
      </c>
      <c r="F50" s="1133" t="s">
        <v>116</v>
      </c>
      <c r="G50" s="640" t="s">
        <v>140</v>
      </c>
      <c r="H50" s="1067"/>
      <c r="I50" s="1049"/>
      <c r="J50" s="1067"/>
      <c r="K50" s="999">
        <v>299</v>
      </c>
      <c r="L50" s="612">
        <f>'통장내역(환율표)'!$D$257</f>
        <v>7.2945000448994257</v>
      </c>
      <c r="M50" s="1173">
        <f t="shared" si="8"/>
        <v>40.989786573388457</v>
      </c>
      <c r="N50" s="1009">
        <f t="shared" si="4"/>
        <v>376250.94000000053</v>
      </c>
      <c r="O50" s="1009">
        <f t="shared" si="5"/>
        <v>52087.932882031448</v>
      </c>
      <c r="P50" s="992" t="s">
        <v>1146</v>
      </c>
      <c r="Q50" s="713"/>
      <c r="R50" s="992" t="s">
        <v>1417</v>
      </c>
      <c r="S50" s="963">
        <f t="shared" si="7"/>
        <v>4135.9318197784405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45737</v>
      </c>
      <c r="C51" s="997" t="s">
        <v>1431</v>
      </c>
      <c r="D51" s="1003"/>
      <c r="E51" s="998">
        <v>26</v>
      </c>
      <c r="F51" s="1133" t="s">
        <v>107</v>
      </c>
      <c r="G51" s="640"/>
      <c r="H51" s="1067"/>
      <c r="I51" s="1049"/>
      <c r="J51" s="1067"/>
      <c r="K51" s="999">
        <v>12</v>
      </c>
      <c r="L51" s="612">
        <f>'통장내역(환율표)'!$D$257</f>
        <v>7.2945000448994257</v>
      </c>
      <c r="M51" s="1173">
        <f t="shared" si="8"/>
        <v>1.6450750464236172</v>
      </c>
      <c r="N51" s="1009">
        <f t="shared" si="4"/>
        <v>376238.94000000053</v>
      </c>
      <c r="O51" s="1009">
        <f t="shared" si="5"/>
        <v>52086.287806985027</v>
      </c>
      <c r="P51" s="992" t="s">
        <v>1146</v>
      </c>
      <c r="Q51" s="713"/>
      <c r="R51" s="992" t="s">
        <v>1417</v>
      </c>
      <c r="S51" s="963">
        <f t="shared" si="7"/>
        <v>4134.2867447320168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45737</v>
      </c>
      <c r="C52" s="997" t="s">
        <v>1429</v>
      </c>
      <c r="D52" s="1003"/>
      <c r="E52" s="998">
        <v>27</v>
      </c>
      <c r="F52" s="1133" t="s">
        <v>146</v>
      </c>
      <c r="G52" s="640" t="s">
        <v>147</v>
      </c>
      <c r="H52" s="1067"/>
      <c r="I52" s="1049"/>
      <c r="J52" s="1067"/>
      <c r="K52" s="999">
        <v>255</v>
      </c>
      <c r="L52" s="612">
        <f>'통장내역(환율표)'!$D$257</f>
        <v>7.2945000448994257</v>
      </c>
      <c r="M52" s="1173">
        <f t="shared" si="8"/>
        <v>34.957844736501862</v>
      </c>
      <c r="N52" s="1009">
        <f t="shared" ref="N52:N83" si="9">N51+H52-K52</f>
        <v>375983.94000000053</v>
      </c>
      <c r="O52" s="1009">
        <f t="shared" ref="O52:O83" si="10">O51+J52-M52</f>
        <v>52051.329962248528</v>
      </c>
      <c r="P52" s="992" t="s">
        <v>1146</v>
      </c>
      <c r="Q52" s="713"/>
      <c r="R52" s="992" t="s">
        <v>1417</v>
      </c>
      <c r="S52" s="963">
        <f t="shared" si="7"/>
        <v>4099.3288999955148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45737</v>
      </c>
      <c r="C53" s="997" t="s">
        <v>1435</v>
      </c>
      <c r="D53" s="1003"/>
      <c r="E53" s="998">
        <v>28</v>
      </c>
      <c r="F53" s="1133" t="s">
        <v>107</v>
      </c>
      <c r="G53" s="640"/>
      <c r="H53" s="1067"/>
      <c r="I53" s="1049"/>
      <c r="J53" s="1067"/>
      <c r="K53" s="999">
        <v>912.7</v>
      </c>
      <c r="L53" s="612">
        <f>'통장내역(환율표)'!$D$257</f>
        <v>7.2945000448994257</v>
      </c>
      <c r="M53" s="1173">
        <f t="shared" si="8"/>
        <v>125.12166623923629</v>
      </c>
      <c r="N53" s="1009">
        <f t="shared" si="9"/>
        <v>375071.24000000051</v>
      </c>
      <c r="O53" s="1009">
        <f t="shared" si="10"/>
        <v>51926.208296009288</v>
      </c>
      <c r="P53" s="992" t="s">
        <v>1146</v>
      </c>
      <c r="Q53" s="713"/>
      <c r="R53" s="992" t="s">
        <v>1417</v>
      </c>
      <c r="S53" s="963">
        <f t="shared" si="7"/>
        <v>3974.2072337562786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45737</v>
      </c>
      <c r="C54" s="997" t="s">
        <v>11</v>
      </c>
      <c r="D54" s="1003"/>
      <c r="E54" s="998">
        <v>29</v>
      </c>
      <c r="F54" s="1133" t="s">
        <v>125</v>
      </c>
      <c r="G54" s="640" t="s">
        <v>145</v>
      </c>
      <c r="H54" s="1067"/>
      <c r="I54" s="1049"/>
      <c r="J54" s="1067"/>
      <c r="K54" s="999">
        <v>6325.68</v>
      </c>
      <c r="L54" s="612">
        <f>'통장내역(환율표)'!$D$257</f>
        <v>7.2945000448994257</v>
      </c>
      <c r="M54" s="1173">
        <f t="shared" si="8"/>
        <v>867.1848599717456</v>
      </c>
      <c r="N54" s="1009">
        <f t="shared" si="9"/>
        <v>368745.56000000052</v>
      </c>
      <c r="O54" s="1009">
        <f t="shared" si="10"/>
        <v>51059.02343603754</v>
      </c>
      <c r="P54" s="992" t="s">
        <v>1146</v>
      </c>
      <c r="Q54" s="713"/>
      <c r="R54" s="992" t="s">
        <v>1417</v>
      </c>
      <c r="S54" s="963">
        <f t="shared" si="7"/>
        <v>3107.0223737845331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45737</v>
      </c>
      <c r="C55" s="997" t="s">
        <v>250</v>
      </c>
      <c r="D55" s="1003"/>
      <c r="E55" s="998">
        <v>30</v>
      </c>
      <c r="F55" s="1133" t="s">
        <v>107</v>
      </c>
      <c r="G55" s="640"/>
      <c r="H55" s="1067"/>
      <c r="I55" s="1049"/>
      <c r="J55" s="1067"/>
      <c r="K55" s="999">
        <v>3.6</v>
      </c>
      <c r="L55" s="612">
        <f>'통장내역(환율표)'!$D$257</f>
        <v>7.2945000448994257</v>
      </c>
      <c r="M55" s="1173">
        <f t="shared" si="8"/>
        <v>0.49352251392708513</v>
      </c>
      <c r="N55" s="1009">
        <f t="shared" si="9"/>
        <v>368741.96000000054</v>
      </c>
      <c r="O55" s="1009">
        <f t="shared" si="10"/>
        <v>51058.529913523613</v>
      </c>
      <c r="P55" s="992" t="s">
        <v>1146</v>
      </c>
      <c r="Q55" s="713"/>
      <c r="R55" s="992" t="s">
        <v>1417</v>
      </c>
      <c r="S55" s="963">
        <f t="shared" si="7"/>
        <v>3106.5288512706061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45737</v>
      </c>
      <c r="C56" s="997" t="s">
        <v>1429</v>
      </c>
      <c r="D56" s="1003"/>
      <c r="E56" s="998">
        <v>31</v>
      </c>
      <c r="F56" s="1133" t="s">
        <v>146</v>
      </c>
      <c r="G56" s="640" t="s">
        <v>147</v>
      </c>
      <c r="H56" s="1067"/>
      <c r="I56" s="1049"/>
      <c r="J56" s="1067"/>
      <c r="K56" s="999">
        <v>6381.8</v>
      </c>
      <c r="L56" s="612">
        <f>'통장내역(환율표)'!$D$257</f>
        <v>7.2945000448994257</v>
      </c>
      <c r="M56" s="1173">
        <f t="shared" si="8"/>
        <v>874.87832760551998</v>
      </c>
      <c r="N56" s="1009">
        <f t="shared" si="9"/>
        <v>362360.16000000056</v>
      </c>
      <c r="O56" s="1009">
        <f t="shared" si="10"/>
        <v>50183.651585918094</v>
      </c>
      <c r="P56" s="992" t="s">
        <v>1146</v>
      </c>
      <c r="Q56" s="713"/>
      <c r="R56" s="992" t="s">
        <v>211</v>
      </c>
      <c r="S56" s="963">
        <f t="shared" si="7"/>
        <v>2231.650523665086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45737</v>
      </c>
      <c r="C57" s="997" t="s">
        <v>11</v>
      </c>
      <c r="D57" s="1003"/>
      <c r="E57" s="998">
        <v>32</v>
      </c>
      <c r="F57" s="1133" t="s">
        <v>125</v>
      </c>
      <c r="G57" s="640" t="s">
        <v>145</v>
      </c>
      <c r="H57" s="1067"/>
      <c r="I57" s="1049"/>
      <c r="J57" s="1067"/>
      <c r="K57" s="999">
        <v>8423</v>
      </c>
      <c r="L57" s="612">
        <f>'통장내역(환율표)'!$D$257</f>
        <v>7.2945000448994257</v>
      </c>
      <c r="M57" s="1173">
        <v>1154.7</v>
      </c>
      <c r="N57" s="1009">
        <f t="shared" si="9"/>
        <v>353937.16000000056</v>
      </c>
      <c r="O57" s="1009">
        <f t="shared" si="10"/>
        <v>49028.951585918097</v>
      </c>
      <c r="P57" s="992" t="s">
        <v>1146</v>
      </c>
      <c r="Q57" s="713"/>
      <c r="R57" s="992" t="s">
        <v>211</v>
      </c>
      <c r="S57" s="963">
        <f t="shared" si="7"/>
        <v>1076.9505236650859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45737</v>
      </c>
      <c r="C58" s="997" t="s">
        <v>19</v>
      </c>
      <c r="D58" s="1003"/>
      <c r="E58" s="998">
        <v>33</v>
      </c>
      <c r="F58" s="1133" t="s">
        <v>116</v>
      </c>
      <c r="G58" s="640" t="s">
        <v>140</v>
      </c>
      <c r="H58" s="1067"/>
      <c r="I58" s="1049"/>
      <c r="J58" s="1067"/>
      <c r="K58" s="999">
        <v>300</v>
      </c>
      <c r="L58" s="612">
        <f>'통장내역(환율표)'!$D$257</f>
        <v>7.2945000448994257</v>
      </c>
      <c r="M58" s="1173">
        <v>41.125999999999998</v>
      </c>
      <c r="N58" s="1009">
        <f t="shared" si="9"/>
        <v>353637.16000000056</v>
      </c>
      <c r="O58" s="1009">
        <f t="shared" si="10"/>
        <v>48987.825585918101</v>
      </c>
      <c r="P58" s="992" t="s">
        <v>1146</v>
      </c>
      <c r="Q58" s="713"/>
      <c r="R58" s="992" t="s">
        <v>211</v>
      </c>
      <c r="S58" s="963">
        <f t="shared" si="7"/>
        <v>1035.824523665086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45737</v>
      </c>
      <c r="C59" s="997" t="s">
        <v>1450</v>
      </c>
      <c r="D59" s="1003"/>
      <c r="E59" s="998">
        <v>34</v>
      </c>
      <c r="F59" s="1133" t="s">
        <v>107</v>
      </c>
      <c r="G59" s="640"/>
      <c r="H59" s="1067"/>
      <c r="I59" s="1049"/>
      <c r="J59" s="1067"/>
      <c r="K59" s="999">
        <f>L59*M59</f>
        <v>7555.8186601722309</v>
      </c>
      <c r="L59" s="612">
        <f>'통장내역(환율표)'!$D$257</f>
        <v>7.2945000448994257</v>
      </c>
      <c r="M59" s="1173">
        <v>1035.8240610959388</v>
      </c>
      <c r="N59" s="1009">
        <f t="shared" si="9"/>
        <v>346081.34133982833</v>
      </c>
      <c r="O59" s="1009">
        <f t="shared" si="10"/>
        <v>47952.001524822161</v>
      </c>
      <c r="P59" s="992" t="s">
        <v>1146</v>
      </c>
      <c r="Q59" s="713"/>
      <c r="R59" s="992" t="s">
        <v>211</v>
      </c>
      <c r="S59" s="963">
        <f t="shared" si="7"/>
        <v>4.6256914720288478E-4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45737</v>
      </c>
      <c r="C60" s="997" t="s">
        <v>1450</v>
      </c>
      <c r="D60" s="1003"/>
      <c r="E60" s="998">
        <v>34</v>
      </c>
      <c r="F60" s="1133" t="s">
        <v>107</v>
      </c>
      <c r="G60" s="640"/>
      <c r="H60" s="1067"/>
      <c r="I60" s="1049"/>
      <c r="J60" s="1067"/>
      <c r="K60" s="999">
        <f>65100-K59</f>
        <v>57544.181339827766</v>
      </c>
      <c r="L60" s="612">
        <f>'통장내역(환율표)'!$D$264</f>
        <v>7.2178000917584253</v>
      </c>
      <c r="M60" s="1174">
        <f t="shared" ref="M60:M94" si="11">K60/L60</f>
        <v>7972.5374225221376</v>
      </c>
      <c r="N60" s="1009">
        <f t="shared" si="9"/>
        <v>288537.16000000056</v>
      </c>
      <c r="O60" s="1009">
        <f t="shared" si="10"/>
        <v>39979.464102300022</v>
      </c>
      <c r="P60" s="992" t="s">
        <v>1274</v>
      </c>
      <c r="Q60" s="713"/>
      <c r="R60" s="992" t="s">
        <v>211</v>
      </c>
      <c r="S60" s="963">
        <f>47952-M60</f>
        <v>39979.462577477861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45737</v>
      </c>
      <c r="C61" s="997" t="s">
        <v>250</v>
      </c>
      <c r="D61" s="1003"/>
      <c r="E61" s="998">
        <v>35</v>
      </c>
      <c r="F61" s="1133" t="s">
        <v>107</v>
      </c>
      <c r="G61" s="640"/>
      <c r="H61" s="1067"/>
      <c r="I61" s="1049"/>
      <c r="J61" s="1067"/>
      <c r="K61" s="999">
        <v>14.4</v>
      </c>
      <c r="L61" s="612">
        <f>'통장내역(환율표)'!$D$264</f>
        <v>7.2178000917584253</v>
      </c>
      <c r="M61" s="1174">
        <f t="shared" si="11"/>
        <v>1.9950677238127583</v>
      </c>
      <c r="N61" s="1009">
        <f t="shared" si="9"/>
        <v>288522.76000000053</v>
      </c>
      <c r="O61" s="1009">
        <f t="shared" si="10"/>
        <v>39977.469034576206</v>
      </c>
      <c r="P61" s="992" t="s">
        <v>1274</v>
      </c>
      <c r="Q61" s="713"/>
      <c r="R61" s="992" t="s">
        <v>211</v>
      </c>
      <c r="S61" s="963">
        <f>S60-M61</f>
        <v>39977.467509754046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136">
        <v>45737</v>
      </c>
      <c r="C62" s="997" t="s">
        <v>1431</v>
      </c>
      <c r="D62" s="1003"/>
      <c r="E62" s="998">
        <v>36</v>
      </c>
      <c r="F62" s="1133" t="s">
        <v>107</v>
      </c>
      <c r="G62" s="640"/>
      <c r="H62" s="1067"/>
      <c r="I62" s="1049"/>
      <c r="J62" s="1067"/>
      <c r="K62" s="999">
        <v>413.9</v>
      </c>
      <c r="L62" s="612">
        <f>'통장내역(환율표)'!$D$264</f>
        <v>7.2178000917584253</v>
      </c>
      <c r="M62" s="1174">
        <f t="shared" si="11"/>
        <v>57.34434242264588</v>
      </c>
      <c r="N62" s="1009">
        <f t="shared" si="9"/>
        <v>288108.86000000051</v>
      </c>
      <c r="O62" s="1009">
        <f t="shared" si="10"/>
        <v>39920.124692153564</v>
      </c>
      <c r="P62" s="992" t="s">
        <v>1274</v>
      </c>
      <c r="Q62" s="713"/>
      <c r="R62" s="992" t="s">
        <v>1420</v>
      </c>
      <c r="S62" s="963">
        <f t="shared" ref="S62:S104" si="12">S61-M62</f>
        <v>39920.123167331403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136">
        <v>45737</v>
      </c>
      <c r="C63" s="997" t="s">
        <v>1435</v>
      </c>
      <c r="D63" s="1003"/>
      <c r="E63" s="998">
        <v>37</v>
      </c>
      <c r="F63" s="1133" t="s">
        <v>107</v>
      </c>
      <c r="G63" s="640"/>
      <c r="H63" s="1067"/>
      <c r="I63" s="1049"/>
      <c r="J63" s="1067"/>
      <c r="K63" s="999">
        <v>13.8</v>
      </c>
      <c r="L63" s="612">
        <f>'통장내역(환율표)'!$D$264</f>
        <v>7.2178000917584253</v>
      </c>
      <c r="M63" s="1174">
        <f t="shared" si="11"/>
        <v>1.911939901987227</v>
      </c>
      <c r="N63" s="1009">
        <f t="shared" si="9"/>
        <v>288095.06000000052</v>
      </c>
      <c r="O63" s="1009">
        <f t="shared" si="10"/>
        <v>39918.21275225158</v>
      </c>
      <c r="P63" s="992" t="s">
        <v>1274</v>
      </c>
      <c r="Q63" s="713"/>
      <c r="R63" s="992" t="s">
        <v>1420</v>
      </c>
      <c r="S63" s="963">
        <f t="shared" si="12"/>
        <v>39918.21122742942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136">
        <v>45737</v>
      </c>
      <c r="C64" s="997" t="s">
        <v>564</v>
      </c>
      <c r="D64" s="1003"/>
      <c r="E64" s="998">
        <v>38</v>
      </c>
      <c r="F64" s="1133" t="s">
        <v>107</v>
      </c>
      <c r="G64" s="640"/>
      <c r="H64" s="1067"/>
      <c r="I64" s="1049"/>
      <c r="J64" s="1067"/>
      <c r="K64" s="1138">
        <v>359</v>
      </c>
      <c r="L64" s="612">
        <f>'통장내역(환율표)'!$D$264</f>
        <v>7.2178000917584253</v>
      </c>
      <c r="M64" s="1174">
        <f t="shared" si="11"/>
        <v>49.738146725609738</v>
      </c>
      <c r="N64" s="1009">
        <f t="shared" si="9"/>
        <v>287736.06000000052</v>
      </c>
      <c r="O64" s="1009">
        <f t="shared" si="10"/>
        <v>39868.474605525967</v>
      </c>
      <c r="P64" s="992" t="s">
        <v>1274</v>
      </c>
      <c r="Q64" s="713"/>
      <c r="R64" s="992" t="s">
        <v>1420</v>
      </c>
      <c r="S64" s="963">
        <f t="shared" si="12"/>
        <v>39868.473080703807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136">
        <v>45737</v>
      </c>
      <c r="C65" s="997" t="s">
        <v>19</v>
      </c>
      <c r="D65" s="1003"/>
      <c r="E65" s="998">
        <v>39</v>
      </c>
      <c r="F65" s="1133" t="s">
        <v>116</v>
      </c>
      <c r="G65" s="640" t="s">
        <v>140</v>
      </c>
      <c r="H65" s="1067"/>
      <c r="I65" s="1049"/>
      <c r="J65" s="1067"/>
      <c r="K65" s="999">
        <v>169</v>
      </c>
      <c r="L65" s="612">
        <f>'통장내역(환율표)'!$D$264</f>
        <v>7.2178000917584253</v>
      </c>
      <c r="M65" s="1174">
        <f t="shared" si="11"/>
        <v>23.414336480858069</v>
      </c>
      <c r="N65" s="1009">
        <f t="shared" si="9"/>
        <v>287567.06000000052</v>
      </c>
      <c r="O65" s="1009">
        <f t="shared" si="10"/>
        <v>39845.060269045112</v>
      </c>
      <c r="P65" s="992" t="s">
        <v>1274</v>
      </c>
      <c r="Q65" s="713"/>
      <c r="R65" s="992" t="s">
        <v>1420</v>
      </c>
      <c r="S65" s="963">
        <f t="shared" si="12"/>
        <v>39845.058744222952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136">
        <v>45737</v>
      </c>
      <c r="C66" s="997" t="s">
        <v>1430</v>
      </c>
      <c r="D66" s="1003"/>
      <c r="E66" s="998">
        <v>40</v>
      </c>
      <c r="F66" s="1133" t="s">
        <v>146</v>
      </c>
      <c r="G66" s="640" t="s">
        <v>147</v>
      </c>
      <c r="H66" s="1067"/>
      <c r="I66" s="1049"/>
      <c r="J66" s="1067"/>
      <c r="K66" s="999">
        <v>432.12</v>
      </c>
      <c r="L66" s="612">
        <f>'통장내역(환율표)'!$D$264</f>
        <v>7.2178000917584253</v>
      </c>
      <c r="M66" s="1174">
        <f t="shared" si="11"/>
        <v>59.868657278747861</v>
      </c>
      <c r="N66" s="1009">
        <f t="shared" si="9"/>
        <v>287134.94000000053</v>
      </c>
      <c r="O66" s="1009">
        <f t="shared" si="10"/>
        <v>39785.191611766364</v>
      </c>
      <c r="P66" s="992" t="s">
        <v>1274</v>
      </c>
      <c r="Q66" s="713"/>
      <c r="R66" s="992" t="s">
        <v>1420</v>
      </c>
      <c r="S66" s="963">
        <f t="shared" si="12"/>
        <v>39785.190086944203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136">
        <v>45737</v>
      </c>
      <c r="C67" s="997" t="s">
        <v>1429</v>
      </c>
      <c r="D67" s="1003"/>
      <c r="E67" s="998">
        <v>41</v>
      </c>
      <c r="F67" s="1133" t="s">
        <v>146</v>
      </c>
      <c r="G67" s="640" t="s">
        <v>147</v>
      </c>
      <c r="H67" s="1067"/>
      <c r="I67" s="1049"/>
      <c r="J67" s="1067"/>
      <c r="K67" s="999">
        <v>10460.81</v>
      </c>
      <c r="L67" s="612">
        <f>'통장내역(환율표)'!$D$264</f>
        <v>7.2178000917584253</v>
      </c>
      <c r="M67" s="1174">
        <f t="shared" si="11"/>
        <v>1449.3072497178987</v>
      </c>
      <c r="N67" s="1009">
        <f t="shared" si="9"/>
        <v>276674.13000000053</v>
      </c>
      <c r="O67" s="1009">
        <f t="shared" si="10"/>
        <v>38335.884362048462</v>
      </c>
      <c r="P67" s="992" t="s">
        <v>1274</v>
      </c>
      <c r="Q67" s="713"/>
      <c r="R67" s="992" t="s">
        <v>1420</v>
      </c>
      <c r="S67" s="963">
        <f t="shared" si="12"/>
        <v>38335.882837226301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136">
        <v>45737</v>
      </c>
      <c r="C68" s="997" t="s">
        <v>250</v>
      </c>
      <c r="D68" s="1003"/>
      <c r="E68" s="998">
        <v>42</v>
      </c>
      <c r="F68" s="1133" t="s">
        <v>107</v>
      </c>
      <c r="G68" s="640"/>
      <c r="H68" s="1067"/>
      <c r="I68" s="1049"/>
      <c r="J68" s="1067"/>
      <c r="K68" s="999">
        <v>7.2</v>
      </c>
      <c r="L68" s="612">
        <f>'통장내역(환율표)'!$D$264</f>
        <v>7.2178000917584253</v>
      </c>
      <c r="M68" s="1174">
        <f t="shared" si="11"/>
        <v>0.99753386190637916</v>
      </c>
      <c r="N68" s="1009">
        <f t="shared" si="9"/>
        <v>276666.93000000052</v>
      </c>
      <c r="O68" s="1009">
        <f t="shared" si="10"/>
        <v>38334.886828186558</v>
      </c>
      <c r="P68" s="992" t="s">
        <v>1274</v>
      </c>
      <c r="Q68" s="713"/>
      <c r="R68" s="992" t="s">
        <v>1420</v>
      </c>
      <c r="S68" s="963">
        <f t="shared" si="12"/>
        <v>38334.885303364397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ht="11.25" customHeight="1">
      <c r="B69" s="1136">
        <v>45737</v>
      </c>
      <c r="C69" s="997" t="s">
        <v>1432</v>
      </c>
      <c r="D69" s="1003"/>
      <c r="E69" s="998">
        <v>43</v>
      </c>
      <c r="F69" s="1133" t="s">
        <v>146</v>
      </c>
      <c r="G69" s="640" t="s">
        <v>147</v>
      </c>
      <c r="H69" s="1067"/>
      <c r="I69" s="1049"/>
      <c r="J69" s="1067"/>
      <c r="K69" s="999">
        <v>2800</v>
      </c>
      <c r="L69" s="612">
        <f>'통장내역(환율표)'!$D$264</f>
        <v>7.2178000917584253</v>
      </c>
      <c r="M69" s="1174">
        <f t="shared" si="11"/>
        <v>387.92983518581411</v>
      </c>
      <c r="N69" s="1009">
        <f t="shared" si="9"/>
        <v>273866.93000000052</v>
      </c>
      <c r="O69" s="1009">
        <f t="shared" si="10"/>
        <v>37946.956993000742</v>
      </c>
      <c r="P69" s="992" t="s">
        <v>1274</v>
      </c>
      <c r="Q69" s="713"/>
      <c r="R69" s="992" t="s">
        <v>1418</v>
      </c>
      <c r="S69" s="963">
        <f t="shared" si="12"/>
        <v>37946.955468178581</v>
      </c>
    </row>
    <row r="70" spans="1:29" ht="11.25" customHeight="1">
      <c r="B70" s="1136">
        <v>45737</v>
      </c>
      <c r="C70" s="997" t="s">
        <v>1433</v>
      </c>
      <c r="D70" s="1003"/>
      <c r="E70" s="998">
        <v>44</v>
      </c>
      <c r="F70" s="1133" t="s">
        <v>146</v>
      </c>
      <c r="G70" s="640" t="s">
        <v>147</v>
      </c>
      <c r="H70" s="1067"/>
      <c r="I70" s="1049"/>
      <c r="J70" s="1067"/>
      <c r="K70" s="999">
        <v>191</v>
      </c>
      <c r="L70" s="612">
        <f>'통장내역(환율표)'!$D$264</f>
        <v>7.2178000917584253</v>
      </c>
      <c r="M70" s="1174">
        <f t="shared" si="11"/>
        <v>26.462356614460891</v>
      </c>
      <c r="N70" s="1009">
        <f t="shared" si="9"/>
        <v>273675.93000000052</v>
      </c>
      <c r="O70" s="1009">
        <f t="shared" si="10"/>
        <v>37920.494636386284</v>
      </c>
      <c r="P70" s="992" t="s">
        <v>1274</v>
      </c>
      <c r="Q70" s="713"/>
      <c r="R70" s="992" t="s">
        <v>1418</v>
      </c>
      <c r="S70" s="963">
        <f t="shared" si="12"/>
        <v>37920.493111564123</v>
      </c>
    </row>
    <row r="71" spans="1:29" ht="11.25" customHeight="1">
      <c r="B71" s="1136">
        <v>45737</v>
      </c>
      <c r="C71" s="997" t="s">
        <v>1451</v>
      </c>
      <c r="D71" s="1003"/>
      <c r="E71" s="998">
        <v>45</v>
      </c>
      <c r="F71" s="1133" t="s">
        <v>146</v>
      </c>
      <c r="G71" s="640" t="s">
        <v>147</v>
      </c>
      <c r="H71" s="1067"/>
      <c r="I71" s="1049"/>
      <c r="J71" s="1067"/>
      <c r="K71" s="999">
        <v>98</v>
      </c>
      <c r="L71" s="612">
        <f>'통장내역(환율표)'!$D$264</f>
        <v>7.2178000917584253</v>
      </c>
      <c r="M71" s="1174">
        <f t="shared" si="11"/>
        <v>13.577544231503495</v>
      </c>
      <c r="N71" s="1009">
        <f t="shared" si="9"/>
        <v>273577.93000000052</v>
      </c>
      <c r="O71" s="1009">
        <f t="shared" si="10"/>
        <v>37906.917092154777</v>
      </c>
      <c r="P71" s="992" t="s">
        <v>1274</v>
      </c>
      <c r="Q71" s="713"/>
      <c r="R71" s="992" t="s">
        <v>1418</v>
      </c>
      <c r="S71" s="963">
        <f t="shared" si="12"/>
        <v>37906.915567332617</v>
      </c>
    </row>
    <row r="72" spans="1:29" ht="11.25" customHeight="1">
      <c r="B72" s="1136">
        <v>45737</v>
      </c>
      <c r="C72" s="997" t="s">
        <v>1434</v>
      </c>
      <c r="D72" s="1003"/>
      <c r="E72" s="998">
        <v>46</v>
      </c>
      <c r="F72" s="1133" t="s">
        <v>146</v>
      </c>
      <c r="G72" s="640" t="s">
        <v>147</v>
      </c>
      <c r="H72" s="1067"/>
      <c r="I72" s="1049"/>
      <c r="J72" s="1067"/>
      <c r="K72" s="999">
        <v>800</v>
      </c>
      <c r="L72" s="612">
        <f>'통장내역(환율표)'!$D$264</f>
        <v>7.2178000917584253</v>
      </c>
      <c r="M72" s="1174">
        <f t="shared" si="11"/>
        <v>110.83709576737546</v>
      </c>
      <c r="N72" s="1009">
        <f t="shared" si="9"/>
        <v>272777.93000000052</v>
      </c>
      <c r="O72" s="1009">
        <f t="shared" si="10"/>
        <v>37796.079996387401</v>
      </c>
      <c r="P72" s="992" t="s">
        <v>1274</v>
      </c>
      <c r="Q72" s="713"/>
      <c r="R72" s="992" t="s">
        <v>1418</v>
      </c>
      <c r="S72" s="963">
        <f t="shared" si="12"/>
        <v>37796.078471565241</v>
      </c>
    </row>
    <row r="73" spans="1:29" ht="11.25" customHeight="1">
      <c r="B73" s="1136">
        <v>45737</v>
      </c>
      <c r="C73" s="997" t="s">
        <v>250</v>
      </c>
      <c r="D73" s="1003"/>
      <c r="E73" s="998">
        <v>47</v>
      </c>
      <c r="F73" s="1133" t="s">
        <v>107</v>
      </c>
      <c r="G73" s="640"/>
      <c r="H73" s="1067"/>
      <c r="I73" s="1049"/>
      <c r="J73" s="1067"/>
      <c r="K73" s="999">
        <v>3.6</v>
      </c>
      <c r="L73" s="612">
        <f>'통장내역(환율표)'!$D$264</f>
        <v>7.2178000917584253</v>
      </c>
      <c r="M73" s="1174">
        <f t="shared" si="11"/>
        <v>0.49876693095318958</v>
      </c>
      <c r="N73" s="1009">
        <f t="shared" si="9"/>
        <v>272774.33000000054</v>
      </c>
      <c r="O73" s="1009">
        <f t="shared" si="10"/>
        <v>37795.581229456446</v>
      </c>
      <c r="P73" s="992" t="s">
        <v>1274</v>
      </c>
      <c r="Q73" s="713"/>
      <c r="R73" s="992" t="s">
        <v>1418</v>
      </c>
      <c r="S73" s="963">
        <f t="shared" si="12"/>
        <v>37795.579704634285</v>
      </c>
    </row>
    <row r="74" spans="1:29" ht="11.25" customHeight="1">
      <c r="B74" s="1136">
        <v>45737</v>
      </c>
      <c r="C74" s="997" t="s">
        <v>1432</v>
      </c>
      <c r="D74" s="1003"/>
      <c r="E74" s="998">
        <v>48</v>
      </c>
      <c r="F74" s="1133" t="s">
        <v>146</v>
      </c>
      <c r="G74" s="640" t="s">
        <v>147</v>
      </c>
      <c r="H74" s="1067"/>
      <c r="I74" s="1049"/>
      <c r="J74" s="1067"/>
      <c r="K74" s="999">
        <v>2779</v>
      </c>
      <c r="L74" s="612">
        <f>'통장내역(환율표)'!$D$264</f>
        <v>7.2178000917584253</v>
      </c>
      <c r="M74" s="1174">
        <f t="shared" si="11"/>
        <v>385.02036142192054</v>
      </c>
      <c r="N74" s="1009">
        <f t="shared" si="9"/>
        <v>269995.33000000054</v>
      </c>
      <c r="O74" s="1009">
        <f t="shared" si="10"/>
        <v>37410.560868034525</v>
      </c>
      <c r="P74" s="992" t="s">
        <v>1274</v>
      </c>
      <c r="Q74" s="713"/>
      <c r="R74" s="992" t="s">
        <v>1419</v>
      </c>
      <c r="S74" s="963">
        <f t="shared" si="12"/>
        <v>37410.559343212364</v>
      </c>
    </row>
    <row r="75" spans="1:29" ht="11.25" customHeight="1">
      <c r="B75" s="1136">
        <v>45737</v>
      </c>
      <c r="C75" s="997" t="s">
        <v>1451</v>
      </c>
      <c r="D75" s="1003"/>
      <c r="E75" s="998">
        <v>49</v>
      </c>
      <c r="F75" s="1133" t="s">
        <v>146</v>
      </c>
      <c r="G75" s="640" t="s">
        <v>147</v>
      </c>
      <c r="H75" s="1067"/>
      <c r="I75" s="1049"/>
      <c r="J75" s="1067"/>
      <c r="K75" s="999">
        <v>98</v>
      </c>
      <c r="L75" s="612">
        <f>'통장내역(환율표)'!$D$264</f>
        <v>7.2178000917584253</v>
      </c>
      <c r="M75" s="1174">
        <f t="shared" si="11"/>
        <v>13.577544231503495</v>
      </c>
      <c r="N75" s="1009">
        <f t="shared" si="9"/>
        <v>269897.33000000054</v>
      </c>
      <c r="O75" s="1009">
        <f t="shared" si="10"/>
        <v>37396.983323803019</v>
      </c>
      <c r="P75" s="992" t="s">
        <v>1274</v>
      </c>
      <c r="Q75" s="713"/>
      <c r="R75" s="992" t="s">
        <v>1419</v>
      </c>
      <c r="S75" s="963">
        <f t="shared" si="12"/>
        <v>37396.981798980858</v>
      </c>
    </row>
    <row r="76" spans="1:29" ht="11.25" customHeight="1">
      <c r="B76" s="1136">
        <v>45737</v>
      </c>
      <c r="C76" s="997" t="s">
        <v>1434</v>
      </c>
      <c r="D76" s="1003"/>
      <c r="E76" s="998">
        <v>50</v>
      </c>
      <c r="F76" s="1133" t="s">
        <v>146</v>
      </c>
      <c r="G76" s="640" t="s">
        <v>147</v>
      </c>
      <c r="H76" s="1067"/>
      <c r="I76" s="1049"/>
      <c r="J76" s="1067"/>
      <c r="K76" s="999">
        <v>743</v>
      </c>
      <c r="L76" s="612">
        <f>'통장내역(환율표)'!$D$264</f>
        <v>7.2178000917584253</v>
      </c>
      <c r="M76" s="1174">
        <f t="shared" si="11"/>
        <v>102.93995269394996</v>
      </c>
      <c r="N76" s="1009">
        <f t="shared" si="9"/>
        <v>269154.33000000054</v>
      </c>
      <c r="O76" s="1009">
        <f t="shared" si="10"/>
        <v>37294.043371109066</v>
      </c>
      <c r="P76" s="992" t="s">
        <v>1274</v>
      </c>
      <c r="Q76" s="713"/>
      <c r="R76" s="992" t="s">
        <v>1419</v>
      </c>
      <c r="S76" s="963">
        <f t="shared" si="12"/>
        <v>37294.041846286906</v>
      </c>
    </row>
    <row r="77" spans="1:29" ht="11.25" customHeight="1">
      <c r="B77" s="1136">
        <v>45737</v>
      </c>
      <c r="C77" s="997" t="s">
        <v>1433</v>
      </c>
      <c r="D77" s="1003"/>
      <c r="E77" s="998">
        <v>51</v>
      </c>
      <c r="F77" s="1133" t="s">
        <v>146</v>
      </c>
      <c r="G77" s="640" t="s">
        <v>147</v>
      </c>
      <c r="H77" s="1067"/>
      <c r="I77" s="1049"/>
      <c r="J77" s="1067"/>
      <c r="K77" s="999">
        <v>291</v>
      </c>
      <c r="L77" s="612">
        <f>'통장내역(환율표)'!$D$264</f>
        <v>7.2178000917584253</v>
      </c>
      <c r="M77" s="1174">
        <f t="shared" si="11"/>
        <v>40.316993585382825</v>
      </c>
      <c r="N77" s="1009">
        <f t="shared" si="9"/>
        <v>268863.33000000054</v>
      </c>
      <c r="O77" s="1009">
        <f t="shared" si="10"/>
        <v>37253.726377523686</v>
      </c>
      <c r="P77" s="992" t="s">
        <v>1274</v>
      </c>
      <c r="Q77" s="713"/>
      <c r="R77" s="992" t="s">
        <v>1419</v>
      </c>
      <c r="S77" s="963">
        <f t="shared" si="12"/>
        <v>37253.724852701525</v>
      </c>
    </row>
    <row r="78" spans="1:29" ht="11.25" customHeight="1">
      <c r="B78" s="1136">
        <v>45737</v>
      </c>
      <c r="C78" s="997" t="s">
        <v>250</v>
      </c>
      <c r="D78" s="1003"/>
      <c r="E78" s="998">
        <v>52</v>
      </c>
      <c r="F78" s="1133" t="s">
        <v>107</v>
      </c>
      <c r="G78" s="640"/>
      <c r="H78" s="1067"/>
      <c r="I78" s="1049"/>
      <c r="J78" s="1067"/>
      <c r="K78" s="999">
        <v>3.6</v>
      </c>
      <c r="L78" s="612">
        <f>'통장내역(환율표)'!$D$264</f>
        <v>7.2178000917584253</v>
      </c>
      <c r="M78" s="1174">
        <f t="shared" si="11"/>
        <v>0.49876693095318958</v>
      </c>
      <c r="N78" s="1009">
        <f t="shared" si="9"/>
        <v>268859.73000000056</v>
      </c>
      <c r="O78" s="1009">
        <f t="shared" si="10"/>
        <v>37253.22761059273</v>
      </c>
      <c r="P78" s="992" t="s">
        <v>1274</v>
      </c>
      <c r="Q78" s="713"/>
      <c r="R78" s="992" t="s">
        <v>1419</v>
      </c>
      <c r="S78" s="963">
        <f t="shared" si="12"/>
        <v>37253.22608577057</v>
      </c>
    </row>
    <row r="79" spans="1:29" ht="11.25" customHeight="1">
      <c r="B79" s="1136">
        <v>45740</v>
      </c>
      <c r="C79" s="997" t="s">
        <v>892</v>
      </c>
      <c r="D79" s="1003"/>
      <c r="E79" s="998">
        <v>53</v>
      </c>
      <c r="F79" s="1133" t="s">
        <v>107</v>
      </c>
      <c r="G79" s="640"/>
      <c r="H79" s="1067"/>
      <c r="I79" s="1049"/>
      <c r="J79" s="1067"/>
      <c r="K79" s="999">
        <v>16000</v>
      </c>
      <c r="L79" s="612">
        <f>'통장내역(환율표)'!$D$264</f>
        <v>7.2178000917584253</v>
      </c>
      <c r="M79" s="1174">
        <f t="shared" si="11"/>
        <v>2216.7419153475093</v>
      </c>
      <c r="N79" s="1009">
        <f t="shared" si="9"/>
        <v>252859.73000000056</v>
      </c>
      <c r="O79" s="1009">
        <f t="shared" si="10"/>
        <v>35036.485695245225</v>
      </c>
      <c r="P79" s="992" t="s">
        <v>1274</v>
      </c>
      <c r="Q79" s="713"/>
      <c r="R79" s="992" t="s">
        <v>211</v>
      </c>
      <c r="S79" s="963">
        <f t="shared" si="12"/>
        <v>35036.484170423064</v>
      </c>
    </row>
    <row r="80" spans="1:29" ht="11.25" customHeight="1">
      <c r="B80" s="1136">
        <v>45740</v>
      </c>
      <c r="C80" s="997" t="s">
        <v>947</v>
      </c>
      <c r="D80" s="1003"/>
      <c r="E80" s="998">
        <v>53</v>
      </c>
      <c r="F80" s="1133" t="s">
        <v>107</v>
      </c>
      <c r="G80" s="640"/>
      <c r="H80" s="1067"/>
      <c r="I80" s="1049"/>
      <c r="J80" s="1067"/>
      <c r="K80" s="999">
        <v>24000</v>
      </c>
      <c r="L80" s="612">
        <f>'통장내역(환율표)'!$D$264</f>
        <v>7.2178000917584253</v>
      </c>
      <c r="M80" s="1174">
        <f t="shared" si="11"/>
        <v>3325.112873021264</v>
      </c>
      <c r="N80" s="1009">
        <f t="shared" si="9"/>
        <v>228859.73000000056</v>
      </c>
      <c r="O80" s="1009">
        <f t="shared" si="10"/>
        <v>31711.372822223959</v>
      </c>
      <c r="P80" s="992" t="s">
        <v>1274</v>
      </c>
      <c r="Q80" s="713"/>
      <c r="R80" s="992" t="s">
        <v>211</v>
      </c>
      <c r="S80" s="963">
        <f t="shared" si="12"/>
        <v>31711.371297401798</v>
      </c>
    </row>
    <row r="81" spans="2:19" ht="11.25" customHeight="1">
      <c r="B81" s="1136">
        <v>45740</v>
      </c>
      <c r="C81" s="997" t="s">
        <v>894</v>
      </c>
      <c r="D81" s="1003"/>
      <c r="E81" s="998">
        <v>53</v>
      </c>
      <c r="F81" s="1133" t="s">
        <v>107</v>
      </c>
      <c r="G81" s="640"/>
      <c r="H81" s="1067"/>
      <c r="I81" s="1049"/>
      <c r="J81" s="1067"/>
      <c r="K81" s="999">
        <v>5305.1900000000005</v>
      </c>
      <c r="L81" s="612">
        <f>'통장내역(환율표)'!$D$264</f>
        <v>7.2178000917584253</v>
      </c>
      <c r="M81" s="1174">
        <f t="shared" si="11"/>
        <v>735.01481511765337</v>
      </c>
      <c r="N81" s="1009">
        <f t="shared" si="9"/>
        <v>223554.54000000056</v>
      </c>
      <c r="O81" s="1009">
        <f t="shared" si="10"/>
        <v>30976.358007106304</v>
      </c>
      <c r="P81" s="992" t="s">
        <v>1274</v>
      </c>
      <c r="Q81" s="713"/>
      <c r="R81" s="992" t="s">
        <v>211</v>
      </c>
      <c r="S81" s="963">
        <f t="shared" si="12"/>
        <v>30976.356482284144</v>
      </c>
    </row>
    <row r="82" spans="2:19" ht="11.25" customHeight="1">
      <c r="B82" s="1136">
        <v>45740</v>
      </c>
      <c r="C82" s="997" t="s">
        <v>895</v>
      </c>
      <c r="D82" s="1003"/>
      <c r="E82" s="998">
        <v>53</v>
      </c>
      <c r="F82" s="1133" t="s">
        <v>107</v>
      </c>
      <c r="G82" s="640"/>
      <c r="H82" s="1067"/>
      <c r="I82" s="1049"/>
      <c r="J82" s="1067"/>
      <c r="K82" s="999">
        <v>3336.7999999999993</v>
      </c>
      <c r="L82" s="612">
        <f>'통장내역(환율표)'!$D$264</f>
        <v>7.2178000917584253</v>
      </c>
      <c r="M82" s="1174">
        <f t="shared" si="11"/>
        <v>462.30152644572297</v>
      </c>
      <c r="N82" s="1009">
        <f t="shared" si="9"/>
        <v>220217.74000000057</v>
      </c>
      <c r="O82" s="1009">
        <f t="shared" si="10"/>
        <v>30514.05648066058</v>
      </c>
      <c r="P82" s="992" t="s">
        <v>1274</v>
      </c>
      <c r="Q82" s="713"/>
      <c r="R82" s="992" t="s">
        <v>211</v>
      </c>
      <c r="S82" s="963">
        <f t="shared" si="12"/>
        <v>30514.054955838419</v>
      </c>
    </row>
    <row r="83" spans="2:19" ht="11.25" customHeight="1">
      <c r="B83" s="1136">
        <v>45740</v>
      </c>
      <c r="C83" s="997" t="s">
        <v>899</v>
      </c>
      <c r="D83" s="1003"/>
      <c r="E83" s="998">
        <v>53</v>
      </c>
      <c r="F83" s="1133" t="s">
        <v>107</v>
      </c>
      <c r="G83" s="640"/>
      <c r="H83" s="1067"/>
      <c r="I83" s="1049"/>
      <c r="J83" s="1067"/>
      <c r="K83" s="999">
        <v>300</v>
      </c>
      <c r="L83" s="612">
        <f>'통장내역(환율표)'!$D$264</f>
        <v>7.2178000917584253</v>
      </c>
      <c r="M83" s="1174">
        <f t="shared" si="11"/>
        <v>41.563910912765799</v>
      </c>
      <c r="N83" s="1009">
        <f t="shared" si="9"/>
        <v>219917.74000000057</v>
      </c>
      <c r="O83" s="1009">
        <f t="shared" si="10"/>
        <v>30472.492569747814</v>
      </c>
      <c r="P83" s="992" t="s">
        <v>1274</v>
      </c>
      <c r="Q83" s="713"/>
      <c r="R83" s="992" t="s">
        <v>211</v>
      </c>
      <c r="S83" s="963">
        <f t="shared" si="12"/>
        <v>30472.491044925653</v>
      </c>
    </row>
    <row r="84" spans="2:19" ht="11.25" customHeight="1">
      <c r="B84" s="1136">
        <v>45740</v>
      </c>
      <c r="C84" s="997" t="s">
        <v>892</v>
      </c>
      <c r="D84" s="1003"/>
      <c r="E84" s="998">
        <v>53</v>
      </c>
      <c r="F84" s="1133" t="s">
        <v>107</v>
      </c>
      <c r="G84" s="640"/>
      <c r="H84" s="1067"/>
      <c r="I84" s="1049"/>
      <c r="J84" s="1067"/>
      <c r="K84" s="999">
        <v>16000</v>
      </c>
      <c r="L84" s="612">
        <f>'통장내역(환율표)'!$D$264</f>
        <v>7.2178000917584253</v>
      </c>
      <c r="M84" s="1174">
        <f t="shared" si="11"/>
        <v>2216.7419153475093</v>
      </c>
      <c r="N84" s="1009">
        <f t="shared" ref="N84:N104" si="13">N83+H84-K84</f>
        <v>203917.74000000057</v>
      </c>
      <c r="O84" s="1009">
        <f t="shared" ref="O84:O104" si="14">O83+J84-M84</f>
        <v>28255.750654400304</v>
      </c>
      <c r="P84" s="992" t="s">
        <v>1274</v>
      </c>
      <c r="Q84" s="713"/>
      <c r="R84" s="992" t="s">
        <v>188</v>
      </c>
      <c r="S84" s="963">
        <f t="shared" si="12"/>
        <v>28255.749129578144</v>
      </c>
    </row>
    <row r="85" spans="2:19" ht="11.25" customHeight="1">
      <c r="B85" s="1136">
        <v>45740</v>
      </c>
      <c r="C85" s="997" t="s">
        <v>947</v>
      </c>
      <c r="D85" s="1003"/>
      <c r="E85" s="998">
        <v>53</v>
      </c>
      <c r="F85" s="1133" t="s">
        <v>107</v>
      </c>
      <c r="G85" s="640"/>
      <c r="H85" s="1067"/>
      <c r="I85" s="1049"/>
      <c r="J85" s="1067"/>
      <c r="K85" s="999">
        <v>24000</v>
      </c>
      <c r="L85" s="612">
        <f>'통장내역(환율표)'!$D$264</f>
        <v>7.2178000917584253</v>
      </c>
      <c r="M85" s="1174">
        <f t="shared" si="11"/>
        <v>3325.112873021264</v>
      </c>
      <c r="N85" s="1009">
        <f t="shared" si="13"/>
        <v>179917.74000000057</v>
      </c>
      <c r="O85" s="1009">
        <f t="shared" si="14"/>
        <v>24930.637781379039</v>
      </c>
      <c r="P85" s="992" t="s">
        <v>1274</v>
      </c>
      <c r="Q85" s="713"/>
      <c r="R85" s="992" t="s">
        <v>188</v>
      </c>
      <c r="S85" s="963">
        <f t="shared" si="12"/>
        <v>24930.636256556878</v>
      </c>
    </row>
    <row r="86" spans="2:19" ht="11.25" customHeight="1">
      <c r="B86" s="1136">
        <v>45740</v>
      </c>
      <c r="C86" s="997" t="s">
        <v>894</v>
      </c>
      <c r="D86" s="1003"/>
      <c r="E86" s="998">
        <v>53</v>
      </c>
      <c r="F86" s="1133" t="s">
        <v>107</v>
      </c>
      <c r="G86" s="640"/>
      <c r="H86" s="1067"/>
      <c r="I86" s="1049"/>
      <c r="J86" s="1067"/>
      <c r="K86" s="999">
        <v>10463.189999999999</v>
      </c>
      <c r="L86" s="612">
        <f>'통장내역(환율표)'!$D$264</f>
        <v>7.2178000917584253</v>
      </c>
      <c r="M86" s="1174">
        <f t="shared" si="11"/>
        <v>1449.6369900778063</v>
      </c>
      <c r="N86" s="1009">
        <f t="shared" si="13"/>
        <v>169454.55000000057</v>
      </c>
      <c r="O86" s="1009">
        <f t="shared" si="14"/>
        <v>23481.00079130123</v>
      </c>
      <c r="P86" s="992" t="s">
        <v>1274</v>
      </c>
      <c r="Q86" s="713"/>
      <c r="R86" s="992" t="s">
        <v>188</v>
      </c>
      <c r="S86" s="963">
        <f t="shared" si="12"/>
        <v>23480.99926647907</v>
      </c>
    </row>
    <row r="87" spans="2:19" ht="11.25" customHeight="1">
      <c r="B87" s="1136">
        <v>45740</v>
      </c>
      <c r="C87" s="997" t="s">
        <v>895</v>
      </c>
      <c r="D87" s="1003"/>
      <c r="E87" s="998">
        <v>53</v>
      </c>
      <c r="F87" s="1133" t="s">
        <v>107</v>
      </c>
      <c r="G87" s="640"/>
      <c r="H87" s="1067"/>
      <c r="I87" s="1049"/>
      <c r="J87" s="1067"/>
      <c r="K87" s="999">
        <v>3100.3999999999996</v>
      </c>
      <c r="L87" s="612">
        <f>'통장내역(환율표)'!$D$264</f>
        <v>7.2178000917584253</v>
      </c>
      <c r="M87" s="1174">
        <f t="shared" si="11"/>
        <v>429.54916464646357</v>
      </c>
      <c r="N87" s="1009">
        <f t="shared" si="13"/>
        <v>166354.15000000058</v>
      </c>
      <c r="O87" s="1009">
        <f t="shared" si="14"/>
        <v>23051.451626654765</v>
      </c>
      <c r="P87" s="992" t="s">
        <v>1274</v>
      </c>
      <c r="Q87" s="713"/>
      <c r="R87" s="992" t="s">
        <v>188</v>
      </c>
      <c r="S87" s="963">
        <f t="shared" si="12"/>
        <v>23051.450101832605</v>
      </c>
    </row>
    <row r="88" spans="2:19" ht="11.25" customHeight="1">
      <c r="B88" s="1136">
        <v>45740</v>
      </c>
      <c r="C88" s="997" t="s">
        <v>899</v>
      </c>
      <c r="D88" s="1003"/>
      <c r="E88" s="998">
        <v>53</v>
      </c>
      <c r="F88" s="1133" t="s">
        <v>107</v>
      </c>
      <c r="G88" s="640"/>
      <c r="H88" s="1067"/>
      <c r="I88" s="1049"/>
      <c r="J88" s="1067"/>
      <c r="K88" s="999">
        <v>300</v>
      </c>
      <c r="L88" s="612">
        <f>'통장내역(환율표)'!$D$264</f>
        <v>7.2178000917584253</v>
      </c>
      <c r="M88" s="1174">
        <f t="shared" si="11"/>
        <v>41.563910912765799</v>
      </c>
      <c r="N88" s="1009">
        <f t="shared" si="13"/>
        <v>166054.15000000058</v>
      </c>
      <c r="O88" s="1009">
        <f t="shared" si="14"/>
        <v>23009.887715741999</v>
      </c>
      <c r="P88" s="992" t="s">
        <v>1274</v>
      </c>
      <c r="Q88" s="713"/>
      <c r="R88" s="992" t="s">
        <v>188</v>
      </c>
      <c r="S88" s="963">
        <f t="shared" si="12"/>
        <v>23009.886190919839</v>
      </c>
    </row>
    <row r="89" spans="2:19" ht="11.25" customHeight="1">
      <c r="B89" s="1136">
        <v>45740</v>
      </c>
      <c r="C89" s="997" t="s">
        <v>898</v>
      </c>
      <c r="D89" s="1003"/>
      <c r="E89" s="998">
        <v>53</v>
      </c>
      <c r="F89" s="1133" t="s">
        <v>107</v>
      </c>
      <c r="G89" s="640"/>
      <c r="H89" s="1067"/>
      <c r="I89" s="1049"/>
      <c r="J89" s="1067"/>
      <c r="K89" s="999">
        <v>25750</v>
      </c>
      <c r="L89" s="612">
        <f>'통장내역(환율표)'!$D$264</f>
        <v>7.2178000917584253</v>
      </c>
      <c r="M89" s="1174">
        <f t="shared" si="11"/>
        <v>3567.5690200123977</v>
      </c>
      <c r="N89" s="1009">
        <f t="shared" si="13"/>
        <v>140304.15000000058</v>
      </c>
      <c r="O89" s="1009">
        <f t="shared" si="14"/>
        <v>19442.318695729602</v>
      </c>
      <c r="P89" s="992" t="s">
        <v>1274</v>
      </c>
      <c r="Q89" s="713"/>
      <c r="R89" s="992" t="s">
        <v>1415</v>
      </c>
      <c r="S89" s="963">
        <f t="shared" si="12"/>
        <v>19442.317170907441</v>
      </c>
    </row>
    <row r="90" spans="2:19" ht="11.25" customHeight="1">
      <c r="B90" s="1136">
        <v>45740</v>
      </c>
      <c r="C90" s="997" t="s">
        <v>948</v>
      </c>
      <c r="D90" s="1003"/>
      <c r="E90" s="998">
        <v>53</v>
      </c>
      <c r="F90" s="1133" t="s">
        <v>107</v>
      </c>
      <c r="G90" s="640"/>
      <c r="H90" s="1067"/>
      <c r="I90" s="1049"/>
      <c r="J90" s="1067"/>
      <c r="K90" s="999">
        <v>7431.44</v>
      </c>
      <c r="L90" s="612">
        <f>'통장내역(환율표)'!$D$264</f>
        <v>7.2178000917584253</v>
      </c>
      <c r="M90" s="1174">
        <f t="shared" si="11"/>
        <v>1029.5990337118808</v>
      </c>
      <c r="N90" s="1009">
        <f t="shared" si="13"/>
        <v>132872.71000000057</v>
      </c>
      <c r="O90" s="1009">
        <f t="shared" si="14"/>
        <v>18412.71966201772</v>
      </c>
      <c r="P90" s="992" t="s">
        <v>1274</v>
      </c>
      <c r="Q90" s="713"/>
      <c r="R90" s="992" t="s">
        <v>1415</v>
      </c>
      <c r="S90" s="963">
        <f t="shared" si="12"/>
        <v>18412.718137195559</v>
      </c>
    </row>
    <row r="91" spans="2:19" ht="11.25" customHeight="1">
      <c r="B91" s="1136">
        <v>45740</v>
      </c>
      <c r="C91" s="997" t="s">
        <v>899</v>
      </c>
      <c r="D91" s="1003"/>
      <c r="E91" s="998">
        <v>53</v>
      </c>
      <c r="F91" s="1133" t="s">
        <v>107</v>
      </c>
      <c r="G91" s="640"/>
      <c r="H91" s="1067"/>
      <c r="I91" s="1049"/>
      <c r="J91" s="1067"/>
      <c r="K91" s="999">
        <v>300</v>
      </c>
      <c r="L91" s="612">
        <f>'통장내역(환율표)'!$D$264</f>
        <v>7.2178000917584253</v>
      </c>
      <c r="M91" s="1174">
        <f t="shared" si="11"/>
        <v>41.563910912765799</v>
      </c>
      <c r="N91" s="1009">
        <f t="shared" si="13"/>
        <v>132572.71000000057</v>
      </c>
      <c r="O91" s="1009">
        <f t="shared" si="14"/>
        <v>18371.155751104954</v>
      </c>
      <c r="P91" s="992" t="s">
        <v>1274</v>
      </c>
      <c r="Q91" s="713"/>
      <c r="R91" s="992" t="s">
        <v>1415</v>
      </c>
      <c r="S91" s="963">
        <f t="shared" si="12"/>
        <v>18371.154226282793</v>
      </c>
    </row>
    <row r="92" spans="2:19" ht="11.25" customHeight="1">
      <c r="B92" s="1136">
        <v>45740</v>
      </c>
      <c r="C92" s="997" t="s">
        <v>992</v>
      </c>
      <c r="D92" s="1003"/>
      <c r="E92" s="998">
        <v>53</v>
      </c>
      <c r="F92" s="1133" t="s">
        <v>107</v>
      </c>
      <c r="G92" s="640"/>
      <c r="H92" s="1067"/>
      <c r="I92" s="1049"/>
      <c r="J92" s="1067"/>
      <c r="K92" s="999">
        <v>300</v>
      </c>
      <c r="L92" s="612">
        <f>'통장내역(환율표)'!$D$264</f>
        <v>7.2178000917584253</v>
      </c>
      <c r="M92" s="1174">
        <f t="shared" si="11"/>
        <v>41.563910912765799</v>
      </c>
      <c r="N92" s="1009">
        <f t="shared" si="13"/>
        <v>132272.71000000057</v>
      </c>
      <c r="O92" s="1009">
        <f t="shared" si="14"/>
        <v>18329.591840192188</v>
      </c>
      <c r="P92" s="992" t="s">
        <v>1274</v>
      </c>
      <c r="Q92" s="713"/>
      <c r="R92" s="992" t="s">
        <v>1415</v>
      </c>
      <c r="S92" s="963">
        <f t="shared" si="12"/>
        <v>18329.590315370027</v>
      </c>
    </row>
    <row r="93" spans="2:19" ht="11.25" customHeight="1">
      <c r="B93" s="1136">
        <v>45740</v>
      </c>
      <c r="C93" s="997" t="s">
        <v>898</v>
      </c>
      <c r="D93" s="1003"/>
      <c r="E93" s="998">
        <v>53</v>
      </c>
      <c r="F93" s="1133" t="s">
        <v>107</v>
      </c>
      <c r="G93" s="640"/>
      <c r="H93" s="1067"/>
      <c r="I93" s="1049"/>
      <c r="J93" s="1067"/>
      <c r="K93" s="999">
        <v>13390</v>
      </c>
      <c r="L93" s="612">
        <f>'통장내역(환율표)'!$D$264</f>
        <v>7.2178000917584253</v>
      </c>
      <c r="M93" s="1174">
        <f t="shared" si="11"/>
        <v>1855.1358904064468</v>
      </c>
      <c r="N93" s="1009">
        <f t="shared" si="13"/>
        <v>118882.71000000057</v>
      </c>
      <c r="O93" s="1009">
        <f t="shared" si="14"/>
        <v>16474.455949785741</v>
      </c>
      <c r="P93" s="992" t="s">
        <v>1274</v>
      </c>
      <c r="Q93" s="713"/>
      <c r="R93" s="992" t="s">
        <v>1416</v>
      </c>
      <c r="S93" s="963">
        <f t="shared" si="12"/>
        <v>16474.45442496358</v>
      </c>
    </row>
    <row r="94" spans="2:19" ht="11.25" customHeight="1">
      <c r="B94" s="1136">
        <v>45740</v>
      </c>
      <c r="C94" s="997" t="s">
        <v>948</v>
      </c>
      <c r="D94" s="1003"/>
      <c r="E94" s="998">
        <v>53</v>
      </c>
      <c r="F94" s="1133" t="s">
        <v>107</v>
      </c>
      <c r="G94" s="640"/>
      <c r="H94" s="1067"/>
      <c r="I94" s="1049"/>
      <c r="J94" s="1067"/>
      <c r="K94" s="999">
        <v>3281.57</v>
      </c>
      <c r="L94" s="612">
        <f>'통장내역(환율표)'!$D$264</f>
        <v>7.2178000917584253</v>
      </c>
      <c r="M94" s="1174">
        <f t="shared" si="11"/>
        <v>454.64961044668291</v>
      </c>
      <c r="N94" s="1009">
        <f t="shared" si="13"/>
        <v>115601.14000000057</v>
      </c>
      <c r="O94" s="1009">
        <f t="shared" si="14"/>
        <v>16019.806339339058</v>
      </c>
      <c r="P94" s="992" t="s">
        <v>1274</v>
      </c>
      <c r="Q94" s="713"/>
      <c r="R94" s="992" t="s">
        <v>1416</v>
      </c>
      <c r="S94" s="963">
        <f t="shared" si="12"/>
        <v>16019.804814516898</v>
      </c>
    </row>
    <row r="95" spans="2:19" ht="11.25" customHeight="1">
      <c r="B95" s="1136">
        <v>45740</v>
      </c>
      <c r="C95" s="997" t="s">
        <v>899</v>
      </c>
      <c r="D95" s="1003"/>
      <c r="E95" s="998">
        <v>53</v>
      </c>
      <c r="F95" s="1133" t="s">
        <v>107</v>
      </c>
      <c r="G95" s="640"/>
      <c r="H95" s="1067"/>
      <c r="I95" s="1049"/>
      <c r="J95" s="1067"/>
      <c r="K95" s="999">
        <v>300</v>
      </c>
      <c r="L95" s="612">
        <f>'통장내역(환율표)'!$D$264</f>
        <v>7.2178000917584253</v>
      </c>
      <c r="M95" s="1174">
        <v>41.56</v>
      </c>
      <c r="N95" s="1009">
        <f t="shared" si="13"/>
        <v>115301.14000000057</v>
      </c>
      <c r="O95" s="1009">
        <f t="shared" si="14"/>
        <v>15978.246339339059</v>
      </c>
      <c r="P95" s="992" t="s">
        <v>1274</v>
      </c>
      <c r="Q95" s="713"/>
      <c r="R95" s="992" t="s">
        <v>1416</v>
      </c>
      <c r="S95" s="963">
        <f t="shared" si="12"/>
        <v>15978.244814516898</v>
      </c>
    </row>
    <row r="96" spans="2:19" ht="11.25" customHeight="1">
      <c r="B96" s="1136">
        <v>45740</v>
      </c>
      <c r="C96" s="997" t="s">
        <v>992</v>
      </c>
      <c r="D96" s="1003"/>
      <c r="E96" s="998">
        <v>53</v>
      </c>
      <c r="F96" s="1133" t="s">
        <v>107</v>
      </c>
      <c r="G96" s="640"/>
      <c r="H96" s="1067"/>
      <c r="I96" s="1049"/>
      <c r="J96" s="1067"/>
      <c r="K96" s="999">
        <v>900</v>
      </c>
      <c r="L96" s="612">
        <f>'통장내역(환율표)'!$D$264</f>
        <v>7.2178000917584253</v>
      </c>
      <c r="M96" s="1174">
        <f t="shared" ref="M96:M104" si="15">K96/L96</f>
        <v>124.6917327382974</v>
      </c>
      <c r="N96" s="1009">
        <f t="shared" si="13"/>
        <v>114401.14000000057</v>
      </c>
      <c r="O96" s="1009">
        <f t="shared" si="14"/>
        <v>15853.554606600761</v>
      </c>
      <c r="P96" s="992" t="s">
        <v>1274</v>
      </c>
      <c r="Q96" s="713"/>
      <c r="R96" s="992" t="s">
        <v>1416</v>
      </c>
      <c r="S96" s="963">
        <f t="shared" si="12"/>
        <v>15853.5530817786</v>
      </c>
    </row>
    <row r="97" spans="2:19" ht="11.25" customHeight="1">
      <c r="B97" s="1136">
        <v>45740</v>
      </c>
      <c r="C97" s="997" t="s">
        <v>898</v>
      </c>
      <c r="D97" s="1003"/>
      <c r="E97" s="998">
        <v>53</v>
      </c>
      <c r="F97" s="1133" t="s">
        <v>107</v>
      </c>
      <c r="G97" s="640"/>
      <c r="H97" s="1067"/>
      <c r="I97" s="1049"/>
      <c r="J97" s="1067"/>
      <c r="K97" s="999">
        <v>25750</v>
      </c>
      <c r="L97" s="612">
        <f>'통장내역(환율표)'!$D$264</f>
        <v>7.2178000917584253</v>
      </c>
      <c r="M97" s="1174">
        <f t="shared" si="15"/>
        <v>3567.5690200123977</v>
      </c>
      <c r="N97" s="1009">
        <f t="shared" si="13"/>
        <v>88651.140000000567</v>
      </c>
      <c r="O97" s="1009">
        <f t="shared" si="14"/>
        <v>12285.985586588364</v>
      </c>
      <c r="P97" s="992" t="s">
        <v>1274</v>
      </c>
      <c r="Q97" s="713"/>
      <c r="R97" s="992" t="s">
        <v>1292</v>
      </c>
      <c r="S97" s="963">
        <f t="shared" si="12"/>
        <v>12285.984061766203</v>
      </c>
    </row>
    <row r="98" spans="2:19" ht="11.25" customHeight="1">
      <c r="B98" s="1136">
        <v>45740</v>
      </c>
      <c r="C98" s="997" t="s">
        <v>948</v>
      </c>
      <c r="D98" s="1003"/>
      <c r="E98" s="998">
        <v>53</v>
      </c>
      <c r="F98" s="1133" t="s">
        <v>107</v>
      </c>
      <c r="G98" s="640"/>
      <c r="H98" s="1067"/>
      <c r="I98" s="1049"/>
      <c r="J98" s="1067"/>
      <c r="K98" s="999">
        <v>7431.44</v>
      </c>
      <c r="L98" s="612">
        <f>'통장내역(환율표)'!$D$264</f>
        <v>7.2178000917584253</v>
      </c>
      <c r="M98" s="1174">
        <f t="shared" si="15"/>
        <v>1029.5990337118808</v>
      </c>
      <c r="N98" s="1009">
        <f t="shared" si="13"/>
        <v>81219.700000000565</v>
      </c>
      <c r="O98" s="1009">
        <f t="shared" si="14"/>
        <v>11256.386552876484</v>
      </c>
      <c r="P98" s="992" t="s">
        <v>1274</v>
      </c>
      <c r="Q98" s="713"/>
      <c r="R98" s="992" t="s">
        <v>1292</v>
      </c>
      <c r="S98" s="963">
        <f t="shared" si="12"/>
        <v>11256.385028054323</v>
      </c>
    </row>
    <row r="99" spans="2:19" ht="11.25" customHeight="1">
      <c r="B99" s="1136">
        <v>45740</v>
      </c>
      <c r="C99" s="997" t="s">
        <v>899</v>
      </c>
      <c r="D99" s="1003"/>
      <c r="E99" s="998">
        <v>53</v>
      </c>
      <c r="F99" s="1133" t="s">
        <v>107</v>
      </c>
      <c r="G99" s="640"/>
      <c r="H99" s="1067"/>
      <c r="I99" s="1049"/>
      <c r="J99" s="1067"/>
      <c r="K99" s="999">
        <v>300</v>
      </c>
      <c r="L99" s="612">
        <f>'통장내역(환율표)'!$D$264</f>
        <v>7.2178000917584253</v>
      </c>
      <c r="M99" s="1174">
        <f t="shared" si="15"/>
        <v>41.563910912765799</v>
      </c>
      <c r="N99" s="1009">
        <f t="shared" si="13"/>
        <v>80919.700000000565</v>
      </c>
      <c r="O99" s="1009">
        <f t="shared" si="14"/>
        <v>11214.822641963718</v>
      </c>
      <c r="P99" s="992" t="s">
        <v>1274</v>
      </c>
      <c r="Q99" s="713"/>
      <c r="R99" s="992" t="s">
        <v>1292</v>
      </c>
      <c r="S99" s="963">
        <f t="shared" si="12"/>
        <v>11214.821117141557</v>
      </c>
    </row>
    <row r="100" spans="2:19" ht="11.25" customHeight="1">
      <c r="B100" s="1136">
        <v>45740</v>
      </c>
      <c r="C100" s="997" t="s">
        <v>898</v>
      </c>
      <c r="D100" s="1003"/>
      <c r="E100" s="998">
        <v>53</v>
      </c>
      <c r="F100" s="1133" t="s">
        <v>107</v>
      </c>
      <c r="G100" s="640"/>
      <c r="H100" s="1067"/>
      <c r="I100" s="1049"/>
      <c r="J100" s="1067"/>
      <c r="K100" s="999">
        <v>21300</v>
      </c>
      <c r="L100" s="612">
        <f>'통장내역(환율표)'!$D$264</f>
        <v>7.2178000917584253</v>
      </c>
      <c r="M100" s="1174">
        <f t="shared" si="15"/>
        <v>2951.0376748063718</v>
      </c>
      <c r="N100" s="1009">
        <f t="shared" si="13"/>
        <v>59619.700000000565</v>
      </c>
      <c r="O100" s="1009">
        <f t="shared" si="14"/>
        <v>8263.7849671573458</v>
      </c>
      <c r="P100" s="992" t="s">
        <v>1274</v>
      </c>
      <c r="Q100" s="713"/>
      <c r="R100" s="992" t="s">
        <v>1453</v>
      </c>
      <c r="S100" s="963">
        <f t="shared" si="12"/>
        <v>8263.7834423351851</v>
      </c>
    </row>
    <row r="101" spans="2:19" ht="11.25" customHeight="1">
      <c r="B101" s="1136">
        <v>45740</v>
      </c>
      <c r="C101" s="997" t="s">
        <v>948</v>
      </c>
      <c r="D101" s="1003"/>
      <c r="E101" s="998">
        <v>53</v>
      </c>
      <c r="F101" s="1133" t="s">
        <v>107</v>
      </c>
      <c r="G101" s="640"/>
      <c r="H101" s="1067"/>
      <c r="I101" s="1049"/>
      <c r="J101" s="1067"/>
      <c r="K101" s="999">
        <v>5941.29</v>
      </c>
      <c r="L101" s="612">
        <f>'통장내역(환율표)'!$D$264</f>
        <v>7.2178000917584253</v>
      </c>
      <c r="M101" s="1174">
        <f t="shared" si="15"/>
        <v>823.14416088968767</v>
      </c>
      <c r="N101" s="1009">
        <f t="shared" si="13"/>
        <v>53678.410000000564</v>
      </c>
      <c r="O101" s="1009">
        <f t="shared" si="14"/>
        <v>7440.6408062676583</v>
      </c>
      <c r="P101" s="992" t="s">
        <v>1274</v>
      </c>
      <c r="Q101" s="713"/>
      <c r="R101" s="992" t="s">
        <v>1453</v>
      </c>
      <c r="S101" s="963">
        <f t="shared" si="12"/>
        <v>7440.6392814454975</v>
      </c>
    </row>
    <row r="102" spans="2:19" ht="11.25" customHeight="1">
      <c r="B102" s="1136">
        <v>45740</v>
      </c>
      <c r="C102" s="997" t="s">
        <v>899</v>
      </c>
      <c r="D102" s="1003"/>
      <c r="E102" s="998">
        <v>53</v>
      </c>
      <c r="F102" s="1133" t="s">
        <v>107</v>
      </c>
      <c r="G102" s="640"/>
      <c r="H102" s="1067"/>
      <c r="I102" s="1049"/>
      <c r="J102" s="1067"/>
      <c r="K102" s="999">
        <v>300</v>
      </c>
      <c r="L102" s="612">
        <f>'통장내역(환율표)'!$D$264</f>
        <v>7.2178000917584253</v>
      </c>
      <c r="M102" s="1174">
        <f t="shared" si="15"/>
        <v>41.563910912765799</v>
      </c>
      <c r="N102" s="1009">
        <f t="shared" si="13"/>
        <v>53378.410000000564</v>
      </c>
      <c r="O102" s="1009">
        <f t="shared" si="14"/>
        <v>7399.0768953548923</v>
      </c>
      <c r="P102" s="992" t="s">
        <v>1274</v>
      </c>
      <c r="Q102" s="713"/>
      <c r="R102" s="992" t="s">
        <v>1453</v>
      </c>
      <c r="S102" s="963">
        <f t="shared" si="12"/>
        <v>7399.0753705327315</v>
      </c>
    </row>
    <row r="103" spans="2:19" ht="11.25" customHeight="1">
      <c r="B103" s="1136">
        <v>45740</v>
      </c>
      <c r="C103" s="997" t="s">
        <v>992</v>
      </c>
      <c r="D103" s="1003"/>
      <c r="E103" s="998">
        <v>53</v>
      </c>
      <c r="F103" s="1133" t="s">
        <v>107</v>
      </c>
      <c r="G103" s="640"/>
      <c r="H103" s="1067"/>
      <c r="I103" s="1049"/>
      <c r="J103" s="1067"/>
      <c r="K103" s="999">
        <v>1000</v>
      </c>
      <c r="L103" s="612">
        <f>'통장내역(환율표)'!$D$264</f>
        <v>7.2178000917584253</v>
      </c>
      <c r="M103" s="1174">
        <f t="shared" si="15"/>
        <v>138.54636970921933</v>
      </c>
      <c r="N103" s="1009">
        <f t="shared" si="13"/>
        <v>52378.410000000564</v>
      </c>
      <c r="O103" s="1009">
        <f t="shared" si="14"/>
        <v>7260.5305256456732</v>
      </c>
      <c r="P103" s="992" t="s">
        <v>1274</v>
      </c>
      <c r="Q103" s="713"/>
      <c r="R103" s="992" t="s">
        <v>1453</v>
      </c>
      <c r="S103" s="963">
        <f t="shared" si="12"/>
        <v>7260.5290008235124</v>
      </c>
    </row>
    <row r="104" spans="2:19" ht="11.25" customHeight="1">
      <c r="B104" s="1136">
        <v>45740</v>
      </c>
      <c r="C104" s="997" t="s">
        <v>250</v>
      </c>
      <c r="D104" s="1003"/>
      <c r="E104" s="998">
        <v>54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'통장내역(환율표)'!$D$264</f>
        <v>7.2178000917584253</v>
      </c>
      <c r="M104" s="1174">
        <f t="shared" si="15"/>
        <v>1.662556436510632</v>
      </c>
      <c r="N104" s="990">
        <f t="shared" si="13"/>
        <v>52366.410000000564</v>
      </c>
      <c r="O104" s="990">
        <f t="shared" si="14"/>
        <v>7258.8679692091628</v>
      </c>
      <c r="P104" s="992" t="s">
        <v>1274</v>
      </c>
      <c r="Q104" s="713"/>
      <c r="R104" s="713"/>
      <c r="S104" s="1167">
        <f t="shared" si="12"/>
        <v>7258.866444387002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4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90" customWidth="1"/>
    <col min="4" max="4" width="9.75" style="531" customWidth="1"/>
    <col min="5" max="5" width="12.125" style="531" customWidth="1"/>
    <col min="6" max="6" width="12.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971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1456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1449</v>
      </c>
      <c r="C3" s="547"/>
      <c r="D3" s="547"/>
      <c r="E3" s="547"/>
      <c r="F3" s="1064">
        <v>1446.3</v>
      </c>
      <c r="G3" s="550"/>
      <c r="H3" s="546" t="s">
        <v>1457</v>
      </c>
      <c r="I3" s="547"/>
      <c r="K3" s="1155"/>
      <c r="L3" s="1064">
        <v>1482.9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19195.400000000001</v>
      </c>
      <c r="K5" s="1156">
        <v>2619.0300000000002</v>
      </c>
      <c r="L5" s="723">
        <f>ROUND(K5*$L$3,0)</f>
        <v>3883760</v>
      </c>
      <c r="M5" s="931">
        <f>L5+F5</f>
        <v>3883760</v>
      </c>
      <c r="N5" s="546"/>
      <c r="O5" s="546"/>
      <c r="P5" s="546"/>
      <c r="Q5" s="546"/>
      <c r="R5" s="546"/>
      <c r="S5" s="1117">
        <f>F5+L5+R5</f>
        <v>3883760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30648.809999999998</v>
      </c>
      <c r="K6" s="1156">
        <v>4181.74</v>
      </c>
      <c r="L6" s="723">
        <f t="shared" ref="L6:L12" si="1">ROUND(K6*$L$3,0)</f>
        <v>6201102</v>
      </c>
      <c r="M6" s="931">
        <f t="shared" ref="M6:M13" si="2">L6+F6</f>
        <v>6201102</v>
      </c>
      <c r="N6" s="546"/>
      <c r="O6" s="546"/>
      <c r="P6" s="546"/>
      <c r="Q6" s="546"/>
      <c r="R6" s="546"/>
      <c r="S6" s="1117">
        <f t="shared" ref="S6:S13" si="3">F6+L6+R6</f>
        <v>6201102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142.16999999999999</v>
      </c>
      <c r="E7" s="570">
        <v>19.7</v>
      </c>
      <c r="F7" s="567">
        <f t="shared" si="0"/>
        <v>28492</v>
      </c>
      <c r="G7" s="573"/>
      <c r="H7" s="569" t="s">
        <v>15</v>
      </c>
      <c r="I7" s="569" t="s">
        <v>1064</v>
      </c>
      <c r="J7" s="767">
        <v>24914.83</v>
      </c>
      <c r="K7" s="1157">
        <v>3399.39</v>
      </c>
      <c r="L7" s="723">
        <f t="shared" si="1"/>
        <v>5040955</v>
      </c>
      <c r="M7" s="931">
        <f t="shared" si="2"/>
        <v>5069447</v>
      </c>
      <c r="N7" s="546"/>
      <c r="O7" s="546"/>
      <c r="P7" s="546"/>
      <c r="Q7" s="546"/>
      <c r="R7" s="546"/>
      <c r="S7" s="1117">
        <f t="shared" si="3"/>
        <v>5069447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1157">
        <v>2387.71</v>
      </c>
      <c r="L8" s="723">
        <f t="shared" si="1"/>
        <v>3540735</v>
      </c>
      <c r="M8" s="931">
        <f t="shared" si="2"/>
        <v>3540735</v>
      </c>
      <c r="N8" s="546"/>
      <c r="O8" s="546"/>
      <c r="P8" s="546"/>
      <c r="Q8" s="546"/>
      <c r="R8" s="546"/>
      <c r="S8" s="1117">
        <f t="shared" si="3"/>
        <v>3540735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7">
        <v>1469.1</v>
      </c>
      <c r="K9" s="1157">
        <v>200.44</v>
      </c>
      <c r="L9" s="723">
        <f t="shared" si="1"/>
        <v>297232</v>
      </c>
      <c r="M9" s="931">
        <f t="shared" si="2"/>
        <v>297232</v>
      </c>
      <c r="N9" s="546"/>
      <c r="O9" s="546"/>
      <c r="P9" s="546"/>
      <c r="Q9" s="546"/>
      <c r="R9" s="546"/>
      <c r="S9" s="1117">
        <f t="shared" si="3"/>
        <v>297232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52250.879999999997</v>
      </c>
      <c r="E10" s="570">
        <v>7239.17</v>
      </c>
      <c r="F10" s="567">
        <f t="shared" si="0"/>
        <v>10470012</v>
      </c>
      <c r="G10" s="575"/>
      <c r="H10" s="569" t="s">
        <v>21</v>
      </c>
      <c r="I10" s="569"/>
      <c r="J10" s="766">
        <v>265516.81</v>
      </c>
      <c r="K10" s="1156">
        <v>36252.26</v>
      </c>
      <c r="L10" s="723">
        <f t="shared" si="1"/>
        <v>53758476</v>
      </c>
      <c r="M10" s="931">
        <f t="shared" si="2"/>
        <v>64228488</v>
      </c>
      <c r="N10" s="546"/>
      <c r="O10" s="546"/>
      <c r="P10" s="546"/>
      <c r="Q10" s="546"/>
      <c r="R10" s="546"/>
      <c r="S10" s="1117">
        <f t="shared" si="3"/>
        <v>64228488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1446.3000439462342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7258.87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52393.049999999996</v>
      </c>
      <c r="E13" s="1170">
        <f>SUM(E5:E11)-E12</f>
        <v>7258.87</v>
      </c>
      <c r="F13" s="950">
        <f>SUM(F5:F11)-F12</f>
        <v>10498504</v>
      </c>
      <c r="G13" s="588">
        <f>F13+R13+AC13</f>
        <v>10498504</v>
      </c>
      <c r="H13" s="948" t="s">
        <v>22</v>
      </c>
      <c r="I13" s="949"/>
      <c r="J13" s="585">
        <f>SUM(J5:J11)-J12</f>
        <v>359244.95</v>
      </c>
      <c r="K13" s="560">
        <f>SUM(K5:K11)-K12</f>
        <v>49040.57</v>
      </c>
      <c r="L13" s="950">
        <f>SUM(L5:L11)-L12</f>
        <v>72722260</v>
      </c>
      <c r="M13" s="970">
        <f t="shared" si="2"/>
        <v>83220764</v>
      </c>
      <c r="N13" s="546"/>
      <c r="O13" s="924"/>
      <c r="P13" s="924"/>
      <c r="Q13" s="924"/>
      <c r="R13" s="546"/>
      <c r="S13" s="1117">
        <f t="shared" si="3"/>
        <v>83220764</v>
      </c>
      <c r="U13" s="930"/>
      <c r="X13" s="924">
        <f>F13+R13</f>
        <v>10498504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411638</v>
      </c>
      <c r="K14" s="1160">
        <f>K13+E13+Q13</f>
        <v>56299.44</v>
      </c>
      <c r="L14" s="985">
        <f>L13+F13+R13</f>
        <v>83220764</v>
      </c>
      <c r="M14" s="945">
        <f>M16-E12</f>
        <v>16821.071760387404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123285</v>
      </c>
      <c r="L16" s="1090"/>
      <c r="M16" s="1161">
        <f>SUBTOTAL(9,M19:M105)</f>
        <v>16821.071760387404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1" t="s">
        <v>29</v>
      </c>
      <c r="I17" s="1531"/>
      <c r="J17" s="1531"/>
      <c r="K17" s="1531" t="s">
        <v>30</v>
      </c>
      <c r="L17" s="1531"/>
      <c r="M17" s="1532"/>
      <c r="N17" s="1533" t="s">
        <v>31</v>
      </c>
      <c r="O17" s="1533"/>
      <c r="P17" s="1534"/>
      <c r="Q17" s="1534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35" t="s">
        <v>32</v>
      </c>
      <c r="Q18" s="1535"/>
      <c r="R18" s="1126" t="s">
        <v>1071</v>
      </c>
    </row>
    <row r="19" spans="1:29" ht="11.25" hidden="1" customHeight="1">
      <c r="B19" s="729">
        <v>45747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52366.410000000564</v>
      </c>
      <c r="O19" s="988">
        <v>7258.8679692091628</v>
      </c>
      <c r="P19" s="989"/>
      <c r="Q19" s="732"/>
      <c r="R19" s="737"/>
      <c r="S19" s="926">
        <v>7258.866444387002</v>
      </c>
    </row>
    <row r="20" spans="1:29" s="645" customFormat="1" ht="12" hidden="1" customHeight="1">
      <c r="A20" s="614"/>
      <c r="B20" s="1136">
        <v>45757</v>
      </c>
      <c r="C20" s="1178" t="s">
        <v>1458</v>
      </c>
      <c r="D20" s="1287"/>
      <c r="E20" s="998">
        <v>1</v>
      </c>
      <c r="F20" s="1067" t="s">
        <v>107</v>
      </c>
      <c r="G20" s="1067"/>
      <c r="H20" s="1067"/>
      <c r="I20" s="1067"/>
      <c r="J20" s="1067"/>
      <c r="K20" s="1189">
        <v>52250.879999999997</v>
      </c>
      <c r="L20" s="612">
        <f>'통장내역(환율표)'!$D$264</f>
        <v>7.2178000917584253</v>
      </c>
      <c r="M20" s="1174">
        <f>K20/L20</f>
        <v>7239.1697381120539</v>
      </c>
      <c r="N20" s="1009">
        <f>N19+H20-K20</f>
        <v>115.53000000056636</v>
      </c>
      <c r="O20" s="1009">
        <f>O19+J20-M20</f>
        <v>19.698231097108874</v>
      </c>
      <c r="P20" s="992" t="s">
        <v>1274</v>
      </c>
      <c r="Q20" s="713"/>
      <c r="R20" s="713"/>
      <c r="S20" s="963">
        <f>S19-M20+J20</f>
        <v>19.696706274948156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hidden="1" customHeight="1">
      <c r="A21" s="614"/>
      <c r="B21" s="1175">
        <v>45757</v>
      </c>
      <c r="C21" s="1179" t="s">
        <v>823</v>
      </c>
      <c r="D21" s="1176"/>
      <c r="E21" s="995">
        <v>2</v>
      </c>
      <c r="F21" s="1163"/>
      <c r="G21" s="1163"/>
      <c r="H21" s="1180">
        <v>404322.65</v>
      </c>
      <c r="I21" s="1181"/>
      <c r="J21" s="1180">
        <v>55191</v>
      </c>
      <c r="K21" s="1190"/>
      <c r="L21" s="781"/>
      <c r="M21" s="1029"/>
      <c r="N21" s="1009">
        <f>N20+H21-K21</f>
        <v>404438.18000000058</v>
      </c>
      <c r="O21" s="1009">
        <f>O20+J21-M21</f>
        <v>55210.698231097107</v>
      </c>
      <c r="P21" s="1008"/>
      <c r="Q21" s="785"/>
      <c r="R21" s="78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hidden="1" customHeight="1">
      <c r="A22" s="614"/>
      <c r="B22" s="1175">
        <v>45757</v>
      </c>
      <c r="C22" s="1027" t="s">
        <v>250</v>
      </c>
      <c r="D22" s="1176"/>
      <c r="E22" s="995"/>
      <c r="F22" s="1163" t="s">
        <v>107</v>
      </c>
      <c r="G22" s="1163"/>
      <c r="H22" s="1180"/>
      <c r="I22" s="1181"/>
      <c r="J22" s="1180"/>
      <c r="K22" s="1190"/>
      <c r="L22" s="781"/>
      <c r="M22" s="1177">
        <v>25</v>
      </c>
      <c r="N22" s="1009">
        <f>N21+H22-K22</f>
        <v>404438.18000000058</v>
      </c>
      <c r="O22" s="1009">
        <f>O21+J22-M22</f>
        <v>55185.698231097107</v>
      </c>
      <c r="P22" s="1008" t="s">
        <v>1471</v>
      </c>
      <c r="Q22" s="785"/>
      <c r="R22" s="785"/>
      <c r="S22" s="963"/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hidden="1" customHeight="1">
      <c r="A23" s="614"/>
      <c r="B23" s="1136">
        <v>45762</v>
      </c>
      <c r="C23" s="1045" t="s">
        <v>1375</v>
      </c>
      <c r="D23" s="1003"/>
      <c r="E23" s="998">
        <v>3</v>
      </c>
      <c r="F23" s="1067" t="s">
        <v>105</v>
      </c>
      <c r="G23" s="1067" t="s">
        <v>1131</v>
      </c>
      <c r="H23" s="1067"/>
      <c r="I23" s="1067"/>
      <c r="J23" s="1067"/>
      <c r="K23" s="1164">
        <f>L23*M23</f>
        <v>142.16688835865955</v>
      </c>
      <c r="L23" s="612">
        <f>'통장내역(환율표)'!$D$264</f>
        <v>7.2178000917584253</v>
      </c>
      <c r="M23" s="1174">
        <v>19.696706274948156</v>
      </c>
      <c r="N23" s="1009">
        <f>N22+H23-K23</f>
        <v>404296.01311164192</v>
      </c>
      <c r="O23" s="1009">
        <f>O22+J23-M23</f>
        <v>55166.001524822161</v>
      </c>
      <c r="P23" s="992" t="s">
        <v>1274</v>
      </c>
      <c r="Q23" s="713"/>
      <c r="R23" s="713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hidden="1" customHeight="1">
      <c r="A24" s="614"/>
      <c r="B24" s="1136">
        <v>45762</v>
      </c>
      <c r="C24" s="1045" t="s">
        <v>1375</v>
      </c>
      <c r="D24" s="1003"/>
      <c r="E24" s="998">
        <v>3</v>
      </c>
      <c r="F24" s="1067" t="s">
        <v>105</v>
      </c>
      <c r="G24" s="1067" t="s">
        <v>1131</v>
      </c>
      <c r="H24" s="1067"/>
      <c r="I24" s="1067"/>
      <c r="J24" s="1067"/>
      <c r="K24" s="1164">
        <f>25057-K23</f>
        <v>24914.833111641339</v>
      </c>
      <c r="L24" s="612">
        <f>'통장내역(환율표)'!$D$271</f>
        <v>7.329200050755901</v>
      </c>
      <c r="M24" s="1177">
        <f>K24/L24</f>
        <v>3399.3932406131735</v>
      </c>
      <c r="N24" s="1009">
        <f t="shared" ref="N24:N87" si="4">N23+H24-K24</f>
        <v>379381.18000000058</v>
      </c>
      <c r="O24" s="1009">
        <f t="shared" ref="O24:O87" si="5">O23+J24-M24</f>
        <v>51766.608284208989</v>
      </c>
      <c r="P24" s="992" t="s">
        <v>1471</v>
      </c>
      <c r="Q24" s="713"/>
      <c r="R24" s="1183"/>
      <c r="S24" s="963">
        <f>55166-M24</f>
        <v>51766.606759386828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hidden="1" customHeight="1">
      <c r="A25" s="614"/>
      <c r="B25" s="1136">
        <v>45762</v>
      </c>
      <c r="C25" s="997" t="s">
        <v>250</v>
      </c>
      <c r="D25" s="1287"/>
      <c r="E25" s="998">
        <v>4</v>
      </c>
      <c r="F25" s="1067" t="s">
        <v>107</v>
      </c>
      <c r="G25" s="1067"/>
      <c r="H25" s="1067"/>
      <c r="I25" s="1067"/>
      <c r="J25" s="1067"/>
      <c r="K25" s="1189">
        <v>7.2</v>
      </c>
      <c r="L25" s="612">
        <f>'통장내역(환율표)'!$D$271</f>
        <v>7.329200050755901</v>
      </c>
      <c r="M25" s="1177">
        <f t="shared" ref="M25:M88" si="6">K25/L25</f>
        <v>0.98237187553059413</v>
      </c>
      <c r="N25" s="1009">
        <f t="shared" si="4"/>
        <v>379373.98000000056</v>
      </c>
      <c r="O25" s="1009">
        <f t="shared" si="5"/>
        <v>51765.62591233346</v>
      </c>
      <c r="P25" s="992" t="s">
        <v>1471</v>
      </c>
      <c r="Q25" s="713"/>
      <c r="R25" s="1183"/>
      <c r="S25" s="963">
        <f>S24-M25+J25</f>
        <v>51765.6243875113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hidden="1" customHeight="1">
      <c r="A26" s="614"/>
      <c r="B26" s="1136">
        <v>45762</v>
      </c>
      <c r="C26" s="1045" t="s">
        <v>1291</v>
      </c>
      <c r="D26" s="1003"/>
      <c r="E26" s="998">
        <v>5</v>
      </c>
      <c r="F26" s="1133" t="s">
        <v>146</v>
      </c>
      <c r="G26" s="640" t="s">
        <v>147</v>
      </c>
      <c r="H26" s="1067"/>
      <c r="I26" s="1067"/>
      <c r="J26" s="1067"/>
      <c r="K26" s="1164">
        <v>1600</v>
      </c>
      <c r="L26" s="612">
        <f>'통장내역(환율표)'!$D$271</f>
        <v>7.329200050755901</v>
      </c>
      <c r="M26" s="1177">
        <f t="shared" si="6"/>
        <v>218.3048612290209</v>
      </c>
      <c r="N26" s="1009">
        <f t="shared" si="4"/>
        <v>377773.98000000056</v>
      </c>
      <c r="O26" s="1009">
        <f t="shared" si="5"/>
        <v>51547.321051104438</v>
      </c>
      <c r="P26" s="992" t="s">
        <v>1471</v>
      </c>
      <c r="Q26" s="713"/>
      <c r="R26" s="1183"/>
      <c r="S26" s="963">
        <f t="shared" ref="S26:S89" si="7">S25-M26+J26</f>
        <v>51547.319526282277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hidden="1" customHeight="1">
      <c r="A27" s="614"/>
      <c r="B27" s="1136">
        <v>45762</v>
      </c>
      <c r="C27" s="997" t="s">
        <v>250</v>
      </c>
      <c r="D27" s="1287"/>
      <c r="E27" s="998">
        <v>6</v>
      </c>
      <c r="F27" s="1067" t="s">
        <v>107</v>
      </c>
      <c r="G27" s="1067"/>
      <c r="H27" s="1067"/>
      <c r="I27" s="1067"/>
      <c r="J27" s="1067"/>
      <c r="K27" s="1164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377770.38000000059</v>
      </c>
      <c r="O27" s="1009">
        <f t="shared" si="5"/>
        <v>51546.82986516667</v>
      </c>
      <c r="P27" s="992" t="s">
        <v>1471</v>
      </c>
      <c r="Q27" s="713"/>
      <c r="R27" s="1183"/>
      <c r="S27" s="963">
        <f t="shared" si="7"/>
        <v>51546.828340344509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hidden="1" customHeight="1">
      <c r="A28" s="614"/>
      <c r="B28" s="1136">
        <v>45768</v>
      </c>
      <c r="C28" s="1045" t="s">
        <v>242</v>
      </c>
      <c r="D28" s="1287"/>
      <c r="E28" s="998">
        <v>7</v>
      </c>
      <c r="F28" s="1067" t="s">
        <v>107</v>
      </c>
      <c r="G28" s="1067"/>
      <c r="H28" s="1067"/>
      <c r="I28" s="1067"/>
      <c r="J28" s="1067"/>
      <c r="K28" s="1164">
        <v>1010</v>
      </c>
      <c r="L28" s="612">
        <f>'통장내역(환율표)'!$D$271</f>
        <v>7.329200050755901</v>
      </c>
      <c r="M28" s="1177">
        <f t="shared" si="6"/>
        <v>137.80494365081944</v>
      </c>
      <c r="N28" s="1009">
        <f t="shared" si="4"/>
        <v>376760.38000000059</v>
      </c>
      <c r="O28" s="1009">
        <f t="shared" si="5"/>
        <v>51409.024921515847</v>
      </c>
      <c r="P28" s="992" t="s">
        <v>1471</v>
      </c>
      <c r="Q28" s="713"/>
      <c r="R28" s="1183"/>
      <c r="S28" s="963">
        <f t="shared" si="7"/>
        <v>51409.023396693687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hidden="1" customHeight="1">
      <c r="A29" s="614"/>
      <c r="B29" s="1136">
        <v>45768</v>
      </c>
      <c r="C29" s="997" t="s">
        <v>250</v>
      </c>
      <c r="D29" s="1287"/>
      <c r="E29" s="998">
        <v>8</v>
      </c>
      <c r="F29" s="1067" t="s">
        <v>107</v>
      </c>
      <c r="G29" s="1067"/>
      <c r="H29" s="1067"/>
      <c r="I29" s="1067"/>
      <c r="J29" s="1067"/>
      <c r="K29" s="1164">
        <v>3.6</v>
      </c>
      <c r="L29" s="612">
        <f>'통장내역(환율표)'!$D$271</f>
        <v>7.329200050755901</v>
      </c>
      <c r="M29" s="1177">
        <f t="shared" si="6"/>
        <v>0.49118593776529706</v>
      </c>
      <c r="N29" s="1009">
        <f t="shared" si="4"/>
        <v>376756.78000000061</v>
      </c>
      <c r="O29" s="1009">
        <f t="shared" si="5"/>
        <v>51408.533735578079</v>
      </c>
      <c r="P29" s="992" t="s">
        <v>1471</v>
      </c>
      <c r="Q29" s="713"/>
      <c r="R29" s="1183"/>
      <c r="S29" s="963">
        <f t="shared" si="7"/>
        <v>51408.532210755919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hidden="1" customHeight="1">
      <c r="A30" s="614"/>
      <c r="B30" s="1136">
        <v>45768</v>
      </c>
      <c r="C30" s="997" t="s">
        <v>305</v>
      </c>
      <c r="D30" s="1003"/>
      <c r="E30" s="1003">
        <v>9</v>
      </c>
      <c r="F30" s="1133" t="s">
        <v>105</v>
      </c>
      <c r="G30" s="640" t="s">
        <v>227</v>
      </c>
      <c r="H30" s="1004"/>
      <c r="I30" s="1069"/>
      <c r="J30" s="1069"/>
      <c r="K30" s="999">
        <v>10500</v>
      </c>
      <c r="L30" s="612">
        <f>'통장내역(환율표)'!$D$271</f>
        <v>7.329200050755901</v>
      </c>
      <c r="M30" s="1177">
        <f t="shared" si="6"/>
        <v>1432.6256518154498</v>
      </c>
      <c r="N30" s="1009">
        <f t="shared" si="4"/>
        <v>366256.78000000061</v>
      </c>
      <c r="O30" s="1009">
        <f t="shared" si="5"/>
        <v>49975.908083762632</v>
      </c>
      <c r="P30" s="992" t="s">
        <v>1471</v>
      </c>
      <c r="Q30" s="713"/>
      <c r="R30" s="1183"/>
      <c r="S30" s="963">
        <f t="shared" si="7"/>
        <v>49975.906558940471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hidden="1" customHeight="1">
      <c r="A31" s="614"/>
      <c r="B31" s="1136">
        <v>45768</v>
      </c>
      <c r="C31" s="997" t="s">
        <v>1116</v>
      </c>
      <c r="D31" s="1287"/>
      <c r="E31" s="1003">
        <v>9</v>
      </c>
      <c r="F31" s="1133" t="s">
        <v>107</v>
      </c>
      <c r="G31" s="640"/>
      <c r="H31" s="1004"/>
      <c r="I31" s="1069"/>
      <c r="J31" s="1069"/>
      <c r="K31" s="999">
        <v>6000</v>
      </c>
      <c r="L31" s="612">
        <f>'통장내역(환율표)'!$D$271</f>
        <v>7.329200050755901</v>
      </c>
      <c r="M31" s="1177">
        <f t="shared" si="6"/>
        <v>818.64322960882839</v>
      </c>
      <c r="N31" s="1009">
        <f t="shared" si="4"/>
        <v>360256.78000000061</v>
      </c>
      <c r="O31" s="1009">
        <f t="shared" si="5"/>
        <v>49157.2648541538</v>
      </c>
      <c r="P31" s="992" t="s">
        <v>1471</v>
      </c>
      <c r="Q31" s="713"/>
      <c r="R31" s="1183"/>
      <c r="S31" s="963">
        <f t="shared" si="7"/>
        <v>49157.263329331639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hidden="1" customHeight="1">
      <c r="A32" s="614"/>
      <c r="B32" s="1136">
        <v>45768</v>
      </c>
      <c r="C32" s="997" t="s">
        <v>1117</v>
      </c>
      <c r="D32" s="1287"/>
      <c r="E32" s="1003">
        <v>9</v>
      </c>
      <c r="F32" s="1133" t="s">
        <v>107</v>
      </c>
      <c r="G32" s="640"/>
      <c r="H32" s="1004"/>
      <c r="I32" s="1069"/>
      <c r="J32" s="1069"/>
      <c r="K32" s="999">
        <v>470</v>
      </c>
      <c r="L32" s="612">
        <f>'통장내역(환율표)'!$D$271</f>
        <v>7.329200050755901</v>
      </c>
      <c r="M32" s="1177">
        <f t="shared" si="6"/>
        <v>64.127052986024893</v>
      </c>
      <c r="N32" s="1009">
        <f t="shared" si="4"/>
        <v>359786.78000000061</v>
      </c>
      <c r="O32" s="1009">
        <f t="shared" si="5"/>
        <v>49093.137801167773</v>
      </c>
      <c r="P32" s="992" t="s">
        <v>1471</v>
      </c>
      <c r="Q32" s="713"/>
      <c r="R32" s="1183"/>
      <c r="S32" s="963">
        <f t="shared" si="7"/>
        <v>49093.136276345613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hidden="1" customHeight="1">
      <c r="A33" s="614"/>
      <c r="B33" s="1136">
        <v>45768</v>
      </c>
      <c r="C33" s="997" t="s">
        <v>305</v>
      </c>
      <c r="D33" s="1003"/>
      <c r="E33" s="1003">
        <v>9</v>
      </c>
      <c r="F33" s="1133" t="s">
        <v>105</v>
      </c>
      <c r="G33" s="640" t="s">
        <v>227</v>
      </c>
      <c r="H33" s="1004"/>
      <c r="I33" s="1069"/>
      <c r="J33" s="1069"/>
      <c r="K33" s="999">
        <v>7000</v>
      </c>
      <c r="L33" s="612">
        <f>'통장내역(환율표)'!$D$271</f>
        <v>7.329200050755901</v>
      </c>
      <c r="M33" s="1177">
        <f t="shared" si="6"/>
        <v>955.08376787696648</v>
      </c>
      <c r="N33" s="1009">
        <f t="shared" si="4"/>
        <v>352786.78000000061</v>
      </c>
      <c r="O33" s="1009">
        <f t="shared" si="5"/>
        <v>48138.054033290806</v>
      </c>
      <c r="P33" s="992" t="s">
        <v>1471</v>
      </c>
      <c r="Q33" s="713"/>
      <c r="R33" s="1183"/>
      <c r="S33" s="963">
        <f t="shared" si="7"/>
        <v>48138.052508468645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hidden="1" customHeight="1">
      <c r="A34" s="614"/>
      <c r="B34" s="1136">
        <v>45768</v>
      </c>
      <c r="C34" s="997" t="s">
        <v>1116</v>
      </c>
      <c r="D34" s="1287"/>
      <c r="E34" s="1003">
        <v>9</v>
      </c>
      <c r="F34" s="1133" t="s">
        <v>107</v>
      </c>
      <c r="G34" s="640"/>
      <c r="H34" s="1004"/>
      <c r="I34" s="1069"/>
      <c r="J34" s="1069"/>
      <c r="K34" s="999">
        <v>6000</v>
      </c>
      <c r="L34" s="612">
        <f>'통장내역(환율표)'!$D$271</f>
        <v>7.329200050755901</v>
      </c>
      <c r="M34" s="1177">
        <f t="shared" si="6"/>
        <v>818.64322960882839</v>
      </c>
      <c r="N34" s="1009">
        <f t="shared" si="4"/>
        <v>346786.78000000061</v>
      </c>
      <c r="O34" s="1009">
        <f t="shared" si="5"/>
        <v>47319.410803681974</v>
      </c>
      <c r="P34" s="992" t="s">
        <v>1471</v>
      </c>
      <c r="Q34" s="713"/>
      <c r="R34" s="1183"/>
      <c r="S34" s="963">
        <f t="shared" si="7"/>
        <v>47319.409278859814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hidden="1" customHeight="1">
      <c r="A35" s="614"/>
      <c r="B35" s="1136">
        <v>45768</v>
      </c>
      <c r="C35" s="997" t="s">
        <v>1117</v>
      </c>
      <c r="D35" s="1287"/>
      <c r="E35" s="1003">
        <v>9</v>
      </c>
      <c r="F35" s="1133" t="s">
        <v>107</v>
      </c>
      <c r="G35" s="640"/>
      <c r="H35" s="1004"/>
      <c r="I35" s="1069"/>
      <c r="J35" s="1069"/>
      <c r="K35" s="999">
        <v>400</v>
      </c>
      <c r="L35" s="612">
        <f>'통장내역(환율표)'!$D$271</f>
        <v>7.329200050755901</v>
      </c>
      <c r="M35" s="1177">
        <f t="shared" si="6"/>
        <v>54.576215307255225</v>
      </c>
      <c r="N35" s="1009">
        <f t="shared" si="4"/>
        <v>346386.78000000061</v>
      </c>
      <c r="O35" s="1009">
        <f t="shared" si="5"/>
        <v>47264.834588374717</v>
      </c>
      <c r="P35" s="992" t="s">
        <v>1471</v>
      </c>
      <c r="Q35" s="713"/>
      <c r="R35" s="1183"/>
      <c r="S35" s="963">
        <f t="shared" si="7"/>
        <v>47264.833063552556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hidden="1" customHeight="1">
      <c r="A36" s="614"/>
      <c r="B36" s="1136">
        <v>45768</v>
      </c>
      <c r="C36" s="997" t="s">
        <v>250</v>
      </c>
      <c r="D36" s="1287"/>
      <c r="E36" s="1003">
        <v>10</v>
      </c>
      <c r="F36" s="1133" t="s">
        <v>107</v>
      </c>
      <c r="G36" s="640"/>
      <c r="H36" s="1004"/>
      <c r="I36" s="1069"/>
      <c r="J36" s="1069"/>
      <c r="K36" s="1164">
        <v>7.2</v>
      </c>
      <c r="L36" s="612">
        <f>'통장내역(환율표)'!$D$271</f>
        <v>7.329200050755901</v>
      </c>
      <c r="M36" s="1177">
        <f t="shared" si="6"/>
        <v>0.98237187553059413</v>
      </c>
      <c r="N36" s="1009">
        <f t="shared" si="4"/>
        <v>346379.5800000006</v>
      </c>
      <c r="O36" s="1009">
        <f t="shared" si="5"/>
        <v>47263.852216499188</v>
      </c>
      <c r="P36" s="992" t="s">
        <v>1471</v>
      </c>
      <c r="Q36" s="713"/>
      <c r="R36" s="1183"/>
      <c r="S36" s="963">
        <f t="shared" si="7"/>
        <v>47263.850691677027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hidden="1" customHeight="1">
      <c r="A37" s="614"/>
      <c r="B37" s="1136">
        <v>45768</v>
      </c>
      <c r="C37" s="997" t="s">
        <v>1440</v>
      </c>
      <c r="D37" s="1182"/>
      <c r="E37" s="998">
        <v>11</v>
      </c>
      <c r="F37" s="1067" t="s">
        <v>116</v>
      </c>
      <c r="G37" s="1067" t="s">
        <v>140</v>
      </c>
      <c r="H37" s="1067"/>
      <c r="I37" s="1067"/>
      <c r="J37" s="1067"/>
      <c r="K37" s="1000">
        <v>418</v>
      </c>
      <c r="L37" s="612">
        <f>'통장내역(환율표)'!$D$271</f>
        <v>7.329200050755901</v>
      </c>
      <c r="M37" s="1177">
        <f t="shared" si="6"/>
        <v>57.032144996081712</v>
      </c>
      <c r="N37" s="1009">
        <f t="shared" si="4"/>
        <v>345961.5800000006</v>
      </c>
      <c r="O37" s="1009">
        <f t="shared" si="5"/>
        <v>47206.820071503105</v>
      </c>
      <c r="P37" s="992" t="s">
        <v>1471</v>
      </c>
      <c r="Q37" s="713"/>
      <c r="R37" s="1184" t="s">
        <v>247</v>
      </c>
      <c r="S37" s="963">
        <f t="shared" si="7"/>
        <v>47206.818546680945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hidden="1" customHeight="1">
      <c r="A38" s="614"/>
      <c r="B38" s="1136">
        <v>45768</v>
      </c>
      <c r="C38" s="997" t="s">
        <v>250</v>
      </c>
      <c r="D38" s="1287"/>
      <c r="E38" s="998">
        <v>12</v>
      </c>
      <c r="F38" s="1067" t="s">
        <v>107</v>
      </c>
      <c r="G38" s="1067"/>
      <c r="H38" s="1067"/>
      <c r="I38" s="1067"/>
      <c r="J38" s="1067"/>
      <c r="K38" s="1000">
        <v>3.6</v>
      </c>
      <c r="L38" s="612">
        <f>'통장내역(환율표)'!$D$271</f>
        <v>7.329200050755901</v>
      </c>
      <c r="M38" s="1177">
        <f t="shared" si="6"/>
        <v>0.49118593776529706</v>
      </c>
      <c r="N38" s="1009">
        <f t="shared" si="4"/>
        <v>345957.98000000062</v>
      </c>
      <c r="O38" s="1009">
        <f t="shared" si="5"/>
        <v>47206.328885565337</v>
      </c>
      <c r="P38" s="992" t="s">
        <v>1471</v>
      </c>
      <c r="Q38" s="713"/>
      <c r="R38" s="1184" t="s">
        <v>247</v>
      </c>
      <c r="S38" s="963">
        <f t="shared" si="7"/>
        <v>47206.327360743177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hidden="1" customHeight="1">
      <c r="A39" s="614"/>
      <c r="B39" s="1136">
        <v>45768</v>
      </c>
      <c r="C39" s="997" t="s">
        <v>853</v>
      </c>
      <c r="D39" s="1003"/>
      <c r="E39" s="1003">
        <v>13</v>
      </c>
      <c r="F39" s="1133" t="s">
        <v>146</v>
      </c>
      <c r="G39" s="640" t="s">
        <v>147</v>
      </c>
      <c r="H39" s="1067"/>
      <c r="I39" s="1067"/>
      <c r="J39" s="1067"/>
      <c r="K39" s="1000">
        <v>128.41</v>
      </c>
      <c r="L39" s="612">
        <f>'통장내역(환율표)'!$D$271</f>
        <v>7.329200050755901</v>
      </c>
      <c r="M39" s="1177">
        <f t="shared" si="6"/>
        <v>17.520329519011611</v>
      </c>
      <c r="N39" s="1009">
        <f t="shared" si="4"/>
        <v>345829.57000000065</v>
      </c>
      <c r="O39" s="1009">
        <f t="shared" si="5"/>
        <v>47188.808556046322</v>
      </c>
      <c r="P39" s="992" t="s">
        <v>1471</v>
      </c>
      <c r="Q39" s="713"/>
      <c r="R39" s="1045" t="s">
        <v>1459</v>
      </c>
      <c r="S39" s="963">
        <f t="shared" si="7"/>
        <v>47188.807031224162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hidden="1" customHeight="1">
      <c r="A40" s="614"/>
      <c r="B40" s="1136">
        <v>45768</v>
      </c>
      <c r="C40" s="997" t="s">
        <v>1165</v>
      </c>
      <c r="D40" s="1003"/>
      <c r="E40" s="1003">
        <v>14</v>
      </c>
      <c r="F40" s="1133" t="s">
        <v>146</v>
      </c>
      <c r="G40" s="640" t="s">
        <v>147</v>
      </c>
      <c r="H40" s="1067"/>
      <c r="I40" s="1067"/>
      <c r="J40" s="1067"/>
      <c r="K40" s="1191">
        <v>4365.3599999999997</v>
      </c>
      <c r="L40" s="612">
        <f>'통장내역(환율표)'!$D$271</f>
        <v>7.329200050755901</v>
      </c>
      <c r="M40" s="1177">
        <f t="shared" si="6"/>
        <v>595.61206813419915</v>
      </c>
      <c r="N40" s="1009">
        <f t="shared" si="4"/>
        <v>341464.21000000066</v>
      </c>
      <c r="O40" s="1009">
        <f t="shared" si="5"/>
        <v>46593.196487912122</v>
      </c>
      <c r="P40" s="992" t="s">
        <v>1471</v>
      </c>
      <c r="Q40" s="713"/>
      <c r="R40" s="1045" t="s">
        <v>1459</v>
      </c>
      <c r="S40" s="963">
        <f t="shared" si="7"/>
        <v>46593.194963089962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hidden="1" customHeight="1">
      <c r="A41" s="614"/>
      <c r="B41" s="1136">
        <v>45768</v>
      </c>
      <c r="C41" s="997" t="s">
        <v>851</v>
      </c>
      <c r="D41" s="1003"/>
      <c r="E41" s="1003">
        <v>15</v>
      </c>
      <c r="F41" s="1067" t="s">
        <v>116</v>
      </c>
      <c r="G41" s="1067" t="s">
        <v>140</v>
      </c>
      <c r="H41" s="1067"/>
      <c r="I41" s="1067"/>
      <c r="J41" s="1067"/>
      <c r="K41" s="1191">
        <v>153.6</v>
      </c>
      <c r="L41" s="612">
        <f>'통장내역(환율표)'!$D$271</f>
        <v>7.329200050755901</v>
      </c>
      <c r="M41" s="1177">
        <f t="shared" si="6"/>
        <v>20.957266677986006</v>
      </c>
      <c r="N41" s="1009">
        <f t="shared" si="4"/>
        <v>341310.61000000068</v>
      </c>
      <c r="O41" s="1009">
        <f t="shared" si="5"/>
        <v>46572.239221234136</v>
      </c>
      <c r="P41" s="992" t="s">
        <v>1471</v>
      </c>
      <c r="Q41" s="713"/>
      <c r="R41" s="1045" t="s">
        <v>1459</v>
      </c>
      <c r="S41" s="963">
        <f t="shared" si="7"/>
        <v>46572.237696411976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hidden="1" customHeight="1">
      <c r="A42" s="614"/>
      <c r="B42" s="1136">
        <v>45768</v>
      </c>
      <c r="C42" s="997" t="s">
        <v>852</v>
      </c>
      <c r="D42" s="1287"/>
      <c r="E42" s="1003">
        <v>16</v>
      </c>
      <c r="F42" s="1067" t="s">
        <v>107</v>
      </c>
      <c r="G42" s="1067"/>
      <c r="H42" s="1067"/>
      <c r="I42" s="1067"/>
      <c r="J42" s="1067"/>
      <c r="K42" s="1191">
        <v>135</v>
      </c>
      <c r="L42" s="612">
        <f>'통장내역(환율표)'!$D$271</f>
        <v>7.329200050755901</v>
      </c>
      <c r="M42" s="1177">
        <f t="shared" si="6"/>
        <v>18.41947266619864</v>
      </c>
      <c r="N42" s="1009">
        <f t="shared" si="4"/>
        <v>341175.61000000068</v>
      </c>
      <c r="O42" s="1009">
        <f t="shared" si="5"/>
        <v>46553.819748567941</v>
      </c>
      <c r="P42" s="992" t="s">
        <v>1471</v>
      </c>
      <c r="Q42" s="713"/>
      <c r="R42" s="1045" t="s">
        <v>1459</v>
      </c>
      <c r="S42" s="963">
        <f t="shared" si="7"/>
        <v>46553.81822374578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hidden="1" customHeight="1">
      <c r="A43" s="614"/>
      <c r="B43" s="1136">
        <v>45768</v>
      </c>
      <c r="C43" s="997" t="s">
        <v>250</v>
      </c>
      <c r="D43" s="1287"/>
      <c r="E43" s="1003">
        <v>17</v>
      </c>
      <c r="F43" s="1067" t="s">
        <v>107</v>
      </c>
      <c r="G43" s="1067"/>
      <c r="H43" s="1067"/>
      <c r="I43" s="1067"/>
      <c r="J43" s="1067"/>
      <c r="K43" s="1191">
        <v>3.6</v>
      </c>
      <c r="L43" s="612">
        <f>'통장내역(환율표)'!$D$271</f>
        <v>7.329200050755901</v>
      </c>
      <c r="M43" s="1177">
        <f t="shared" si="6"/>
        <v>0.49118593776529706</v>
      </c>
      <c r="N43" s="1009">
        <f t="shared" si="4"/>
        <v>341172.01000000071</v>
      </c>
      <c r="O43" s="1009">
        <f t="shared" si="5"/>
        <v>46553.328562630173</v>
      </c>
      <c r="P43" s="992" t="s">
        <v>1471</v>
      </c>
      <c r="Q43" s="713"/>
      <c r="R43" s="1045" t="s">
        <v>1459</v>
      </c>
      <c r="S43" s="963">
        <f t="shared" si="7"/>
        <v>46553.327037808012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hidden="1" customHeight="1">
      <c r="A44" s="614"/>
      <c r="B44" s="1136">
        <v>45768</v>
      </c>
      <c r="C44" s="994" t="s">
        <v>127</v>
      </c>
      <c r="D44" s="1003"/>
      <c r="E44" s="1003">
        <v>18</v>
      </c>
      <c r="F44" s="1133" t="s">
        <v>146</v>
      </c>
      <c r="G44" s="640" t="s">
        <v>147</v>
      </c>
      <c r="H44" s="1067"/>
      <c r="I44" s="1067"/>
      <c r="J44" s="1067"/>
      <c r="K44" s="1000">
        <v>207.37</v>
      </c>
      <c r="L44" s="612">
        <f>'통장내역(환율표)'!$D$271</f>
        <v>7.329200050755901</v>
      </c>
      <c r="M44" s="1177">
        <f t="shared" si="6"/>
        <v>28.293674420663791</v>
      </c>
      <c r="N44" s="1009">
        <f t="shared" si="4"/>
        <v>340964.64000000071</v>
      </c>
      <c r="O44" s="1009">
        <f t="shared" si="5"/>
        <v>46525.034888209506</v>
      </c>
      <c r="P44" s="992" t="s">
        <v>1471</v>
      </c>
      <c r="Q44" s="713"/>
      <c r="R44" s="1184" t="s">
        <v>1460</v>
      </c>
      <c r="S44" s="963">
        <f t="shared" si="7"/>
        <v>46525.033363387345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hidden="1" customHeight="1">
      <c r="A45" s="614"/>
      <c r="B45" s="1136">
        <v>45768</v>
      </c>
      <c r="C45" s="1045" t="s">
        <v>1429</v>
      </c>
      <c r="D45" s="1003"/>
      <c r="E45" s="1003">
        <v>19</v>
      </c>
      <c r="F45" s="1133" t="s">
        <v>146</v>
      </c>
      <c r="G45" s="640" t="s">
        <v>147</v>
      </c>
      <c r="H45" s="1067"/>
      <c r="I45" s="1067"/>
      <c r="J45" s="1067"/>
      <c r="K45" s="1191">
        <v>941.79</v>
      </c>
      <c r="L45" s="612">
        <f>'통장내역(환율표)'!$D$271</f>
        <v>7.329200050755901</v>
      </c>
      <c r="M45" s="1177">
        <f t="shared" si="6"/>
        <v>128.49833453554976</v>
      </c>
      <c r="N45" s="1009">
        <f t="shared" si="4"/>
        <v>340022.85000000073</v>
      </c>
      <c r="O45" s="1009">
        <f t="shared" si="5"/>
        <v>46396.536553673955</v>
      </c>
      <c r="P45" s="992" t="s">
        <v>1471</v>
      </c>
      <c r="Q45" s="713"/>
      <c r="R45" s="1184" t="s">
        <v>1460</v>
      </c>
      <c r="S45" s="963">
        <f t="shared" si="7"/>
        <v>46396.535028851795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hidden="1" customHeight="1">
      <c r="A46" s="614"/>
      <c r="B46" s="1136">
        <v>45768</v>
      </c>
      <c r="C46" s="1045" t="s">
        <v>19</v>
      </c>
      <c r="D46" s="1003"/>
      <c r="E46" s="1003">
        <v>20</v>
      </c>
      <c r="F46" s="1067" t="s">
        <v>116</v>
      </c>
      <c r="G46" s="1067" t="s">
        <v>140</v>
      </c>
      <c r="H46" s="1067"/>
      <c r="I46" s="1067"/>
      <c r="J46" s="1067"/>
      <c r="K46" s="1138">
        <v>400</v>
      </c>
      <c r="L46" s="612">
        <f>'통장내역(환율표)'!$D$271</f>
        <v>7.329200050755901</v>
      </c>
      <c r="M46" s="1177">
        <f t="shared" si="6"/>
        <v>54.576215307255225</v>
      </c>
      <c r="N46" s="1009">
        <f t="shared" si="4"/>
        <v>339622.85000000073</v>
      </c>
      <c r="O46" s="1009">
        <f t="shared" si="5"/>
        <v>46341.960338366698</v>
      </c>
      <c r="P46" s="992" t="s">
        <v>1471</v>
      </c>
      <c r="Q46" s="713"/>
      <c r="R46" s="1184" t="s">
        <v>1460</v>
      </c>
      <c r="S46" s="963">
        <f t="shared" si="7"/>
        <v>46341.958813544537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hidden="1" customHeight="1">
      <c r="A47" s="614"/>
      <c r="B47" s="1136">
        <v>45768</v>
      </c>
      <c r="C47" s="1045" t="s">
        <v>11</v>
      </c>
      <c r="D47" s="1003"/>
      <c r="E47" s="1003">
        <v>21</v>
      </c>
      <c r="F47" s="1067" t="s">
        <v>125</v>
      </c>
      <c r="G47" s="1067" t="s">
        <v>145</v>
      </c>
      <c r="H47" s="1067"/>
      <c r="I47" s="1067"/>
      <c r="J47" s="1067"/>
      <c r="K47" s="1138">
        <v>179</v>
      </c>
      <c r="L47" s="612">
        <f>'통장내역(환율표)'!$D$271</f>
        <v>7.329200050755901</v>
      </c>
      <c r="M47" s="1177">
        <f t="shared" si="6"/>
        <v>24.422856349996714</v>
      </c>
      <c r="N47" s="1009">
        <f t="shared" si="4"/>
        <v>339443.85000000073</v>
      </c>
      <c r="O47" s="1009">
        <f t="shared" si="5"/>
        <v>46317.537482016698</v>
      </c>
      <c r="P47" s="992" t="s">
        <v>1471</v>
      </c>
      <c r="Q47" s="713"/>
      <c r="R47" s="1184" t="s">
        <v>1460</v>
      </c>
      <c r="S47" s="963">
        <f t="shared" si="7"/>
        <v>46317.535957194537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hidden="1" customHeight="1">
      <c r="A48" s="614"/>
      <c r="B48" s="1136">
        <v>45768</v>
      </c>
      <c r="C48" s="1045" t="s">
        <v>1431</v>
      </c>
      <c r="D48" s="1287"/>
      <c r="E48" s="1003">
        <v>22</v>
      </c>
      <c r="F48" s="1067" t="s">
        <v>107</v>
      </c>
      <c r="G48" s="1067"/>
      <c r="H48" s="1067"/>
      <c r="I48" s="1067"/>
      <c r="J48" s="1067"/>
      <c r="K48" s="1138">
        <v>424.55</v>
      </c>
      <c r="L48" s="612">
        <f>'통장내역(환율표)'!$D$271</f>
        <v>7.329200050755901</v>
      </c>
      <c r="M48" s="1177">
        <f t="shared" si="6"/>
        <v>57.925830521738021</v>
      </c>
      <c r="N48" s="1009">
        <f t="shared" si="4"/>
        <v>339019.30000000075</v>
      </c>
      <c r="O48" s="1009">
        <f t="shared" si="5"/>
        <v>46259.611651494961</v>
      </c>
      <c r="P48" s="992" t="s">
        <v>1471</v>
      </c>
      <c r="Q48" s="713"/>
      <c r="R48" s="1184" t="s">
        <v>1460</v>
      </c>
      <c r="S48" s="963">
        <f t="shared" si="7"/>
        <v>46259.6101266728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hidden="1" customHeight="1">
      <c r="A49" s="614"/>
      <c r="B49" s="1136">
        <v>45768</v>
      </c>
      <c r="C49" s="1045" t="s">
        <v>1412</v>
      </c>
      <c r="D49" s="1287"/>
      <c r="E49" s="1003">
        <v>23</v>
      </c>
      <c r="F49" s="1067" t="s">
        <v>107</v>
      </c>
      <c r="G49" s="1067"/>
      <c r="H49" s="1067"/>
      <c r="I49" s="1067"/>
      <c r="J49" s="1067"/>
      <c r="K49" s="1138">
        <v>127.56</v>
      </c>
      <c r="L49" s="612">
        <f>'통장내역(환율표)'!$D$271</f>
        <v>7.329200050755901</v>
      </c>
      <c r="M49" s="1177">
        <f t="shared" si="6"/>
        <v>17.404355061483692</v>
      </c>
      <c r="N49" s="1009">
        <f t="shared" si="4"/>
        <v>338891.74000000075</v>
      </c>
      <c r="O49" s="1009">
        <f t="shared" si="5"/>
        <v>46242.20729643348</v>
      </c>
      <c r="P49" s="992" t="s">
        <v>1471</v>
      </c>
      <c r="Q49" s="713"/>
      <c r="R49" s="1184" t="s">
        <v>1460</v>
      </c>
      <c r="S49" s="963">
        <f t="shared" si="7"/>
        <v>46242.20577161132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hidden="1" customHeight="1">
      <c r="A50" s="614"/>
      <c r="B50" s="1136">
        <v>45768</v>
      </c>
      <c r="C50" s="1045" t="s">
        <v>250</v>
      </c>
      <c r="D50" s="1287"/>
      <c r="E50" s="1003">
        <v>24</v>
      </c>
      <c r="F50" s="1067" t="s">
        <v>107</v>
      </c>
      <c r="G50" s="1067"/>
      <c r="H50" s="1067"/>
      <c r="I50" s="1067"/>
      <c r="J50" s="1067"/>
      <c r="K50" s="1138">
        <v>3.6</v>
      </c>
      <c r="L50" s="612">
        <f>'통장내역(환율표)'!$D$271</f>
        <v>7.329200050755901</v>
      </c>
      <c r="M50" s="1177">
        <f t="shared" si="6"/>
        <v>0.49118593776529706</v>
      </c>
      <c r="N50" s="1009">
        <f t="shared" si="4"/>
        <v>338888.14000000077</v>
      </c>
      <c r="O50" s="1009">
        <f t="shared" si="5"/>
        <v>46241.716110495712</v>
      </c>
      <c r="P50" s="992" t="s">
        <v>1471</v>
      </c>
      <c r="Q50" s="713"/>
      <c r="R50" s="1184" t="s">
        <v>1460</v>
      </c>
      <c r="S50" s="963">
        <f t="shared" si="7"/>
        <v>46241.714585673551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hidden="1" customHeight="1">
      <c r="A51" s="614"/>
      <c r="B51" s="1136">
        <v>45768</v>
      </c>
      <c r="C51" s="1045" t="s">
        <v>1454</v>
      </c>
      <c r="D51" s="1003"/>
      <c r="E51" s="1003">
        <v>25</v>
      </c>
      <c r="F51" s="1133" t="s">
        <v>146</v>
      </c>
      <c r="G51" s="640" t="s">
        <v>147</v>
      </c>
      <c r="H51" s="1067"/>
      <c r="I51" s="1067"/>
      <c r="J51" s="1067"/>
      <c r="K51" s="1000">
        <v>663.95</v>
      </c>
      <c r="L51" s="612">
        <f>'통장내역(환율표)'!$D$271</f>
        <v>7.329200050755901</v>
      </c>
      <c r="M51" s="1177">
        <f t="shared" si="6"/>
        <v>90.589695383130277</v>
      </c>
      <c r="N51" s="1009">
        <f t="shared" si="4"/>
        <v>338224.19000000076</v>
      </c>
      <c r="O51" s="1009">
        <f t="shared" si="5"/>
        <v>46151.12641511258</v>
      </c>
      <c r="P51" s="992" t="s">
        <v>1471</v>
      </c>
      <c r="Q51" s="713"/>
      <c r="R51" s="992" t="s">
        <v>1461</v>
      </c>
      <c r="S51" s="963">
        <f t="shared" si="7"/>
        <v>46151.124890290419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hidden="1" customHeight="1">
      <c r="A52" s="614"/>
      <c r="B52" s="1136">
        <v>45768</v>
      </c>
      <c r="C52" s="1045" t="s">
        <v>19</v>
      </c>
      <c r="D52" s="1003"/>
      <c r="E52" s="1003">
        <v>26</v>
      </c>
      <c r="F52" s="1067" t="s">
        <v>116</v>
      </c>
      <c r="G52" s="1067" t="s">
        <v>140</v>
      </c>
      <c r="H52" s="1067"/>
      <c r="I52" s="1067"/>
      <c r="J52" s="1067"/>
      <c r="K52" s="1138">
        <v>299.39999999999998</v>
      </c>
      <c r="L52" s="612">
        <f>'통장내역(환율표)'!$D$271</f>
        <v>7.329200050755901</v>
      </c>
      <c r="M52" s="1177">
        <f t="shared" si="6"/>
        <v>40.850297157480533</v>
      </c>
      <c r="N52" s="1009">
        <f t="shared" si="4"/>
        <v>337924.79000000074</v>
      </c>
      <c r="O52" s="1009">
        <f t="shared" si="5"/>
        <v>46110.276117955102</v>
      </c>
      <c r="P52" s="992" t="s">
        <v>1471</v>
      </c>
      <c r="Q52" s="713"/>
      <c r="R52" s="992" t="s">
        <v>1461</v>
      </c>
      <c r="S52" s="963">
        <f t="shared" si="7"/>
        <v>46110.274593132941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hidden="1" customHeight="1">
      <c r="A53" s="614"/>
      <c r="B53" s="1136">
        <v>45768</v>
      </c>
      <c r="C53" s="1045" t="s">
        <v>1431</v>
      </c>
      <c r="D53" s="1287"/>
      <c r="E53" s="1003">
        <v>27</v>
      </c>
      <c r="F53" s="1133" t="s">
        <v>107</v>
      </c>
      <c r="G53" s="640"/>
      <c r="H53" s="1067"/>
      <c r="I53" s="1049"/>
      <c r="J53" s="1067"/>
      <c r="K53" s="1138">
        <v>36</v>
      </c>
      <c r="L53" s="612">
        <f>'통장내역(환율표)'!$D$271</f>
        <v>7.329200050755901</v>
      </c>
      <c r="M53" s="1177">
        <f t="shared" si="6"/>
        <v>4.9118593776529709</v>
      </c>
      <c r="N53" s="1009">
        <f t="shared" si="4"/>
        <v>337888.79000000074</v>
      </c>
      <c r="O53" s="1009">
        <f t="shared" si="5"/>
        <v>46105.364258577451</v>
      </c>
      <c r="P53" s="992" t="s">
        <v>1471</v>
      </c>
      <c r="Q53" s="713"/>
      <c r="R53" s="992" t="s">
        <v>1461</v>
      </c>
      <c r="S53" s="963">
        <f t="shared" si="7"/>
        <v>46105.36273375529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hidden="1" customHeight="1">
      <c r="A54" s="614"/>
      <c r="B54" s="1136">
        <v>45768</v>
      </c>
      <c r="C54" s="1045" t="s">
        <v>1429</v>
      </c>
      <c r="D54" s="1003"/>
      <c r="E54" s="1003">
        <v>28</v>
      </c>
      <c r="F54" s="1133" t="s">
        <v>146</v>
      </c>
      <c r="G54" s="640" t="s">
        <v>147</v>
      </c>
      <c r="H54" s="1067"/>
      <c r="I54" s="1049"/>
      <c r="J54" s="1067"/>
      <c r="K54" s="1138">
        <v>4536.3</v>
      </c>
      <c r="L54" s="612">
        <f>'통장내역(환율표)'!$D$271</f>
        <v>7.329200050755901</v>
      </c>
      <c r="M54" s="1177">
        <f t="shared" si="6"/>
        <v>618.93521374575471</v>
      </c>
      <c r="N54" s="1009">
        <f t="shared" si="4"/>
        <v>333352.49000000075</v>
      </c>
      <c r="O54" s="1009">
        <f t="shared" si="5"/>
        <v>45486.429044831697</v>
      </c>
      <c r="P54" s="992" t="s">
        <v>1471</v>
      </c>
      <c r="Q54" s="713"/>
      <c r="R54" s="992" t="s">
        <v>1461</v>
      </c>
      <c r="S54" s="963">
        <f t="shared" si="7"/>
        <v>45486.427520009536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hidden="1" customHeight="1">
      <c r="A55" s="614"/>
      <c r="B55" s="1136">
        <v>45768</v>
      </c>
      <c r="C55" s="1045" t="s">
        <v>1435</v>
      </c>
      <c r="D55" s="1287"/>
      <c r="E55" s="1003">
        <v>29</v>
      </c>
      <c r="F55" s="1133" t="s">
        <v>107</v>
      </c>
      <c r="G55" s="640"/>
      <c r="H55" s="1067"/>
      <c r="I55" s="1049"/>
      <c r="J55" s="1067"/>
      <c r="K55" s="1138">
        <v>172.98</v>
      </c>
      <c r="L55" s="612">
        <f>'통장내역(환율표)'!$D$271</f>
        <v>7.329200050755901</v>
      </c>
      <c r="M55" s="1177">
        <f t="shared" si="6"/>
        <v>23.601484309622521</v>
      </c>
      <c r="N55" s="1009">
        <f t="shared" si="4"/>
        <v>333179.51000000077</v>
      </c>
      <c r="O55" s="1009">
        <f t="shared" si="5"/>
        <v>45462.827560522077</v>
      </c>
      <c r="P55" s="992" t="s">
        <v>1471</v>
      </c>
      <c r="Q55" s="713"/>
      <c r="R55" s="992" t="s">
        <v>1461</v>
      </c>
      <c r="S55" s="963">
        <f t="shared" si="7"/>
        <v>45462.826035699916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hidden="1" customHeight="1">
      <c r="A56" s="614"/>
      <c r="B56" s="1136">
        <v>45768</v>
      </c>
      <c r="C56" s="1045" t="s">
        <v>11</v>
      </c>
      <c r="D56" s="1003"/>
      <c r="E56" s="1003">
        <v>30</v>
      </c>
      <c r="F56" s="1133" t="s">
        <v>125</v>
      </c>
      <c r="G56" s="640" t="s">
        <v>145</v>
      </c>
      <c r="H56" s="1067"/>
      <c r="I56" s="1049"/>
      <c r="J56" s="1067"/>
      <c r="K56" s="1138">
        <v>3310.7</v>
      </c>
      <c r="L56" s="612">
        <f>'통장내역(환율표)'!$D$271</f>
        <v>7.329200050755901</v>
      </c>
      <c r="M56" s="1177">
        <f t="shared" si="6"/>
        <v>451.71369004432466</v>
      </c>
      <c r="N56" s="1009">
        <f t="shared" si="4"/>
        <v>329868.81000000075</v>
      </c>
      <c r="O56" s="1009">
        <f t="shared" si="5"/>
        <v>45011.113870477755</v>
      </c>
      <c r="P56" s="992" t="s">
        <v>1471</v>
      </c>
      <c r="Q56" s="713"/>
      <c r="R56" s="992" t="s">
        <v>1461</v>
      </c>
      <c r="S56" s="963">
        <f t="shared" si="7"/>
        <v>45011.112345655594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hidden="1" customHeight="1">
      <c r="A57" s="614"/>
      <c r="B57" s="1136">
        <v>45768</v>
      </c>
      <c r="C57" s="1045" t="s">
        <v>184</v>
      </c>
      <c r="D57" s="1287"/>
      <c r="E57" s="1003">
        <v>31</v>
      </c>
      <c r="F57" s="1133" t="s">
        <v>107</v>
      </c>
      <c r="G57" s="640"/>
      <c r="H57" s="1067"/>
      <c r="I57" s="1049"/>
      <c r="J57" s="1067"/>
      <c r="K57" s="1000">
        <v>399</v>
      </c>
      <c r="L57" s="612">
        <f>'통장내역(환율표)'!$D$271</f>
        <v>7.329200050755901</v>
      </c>
      <c r="M57" s="1177">
        <f t="shared" si="6"/>
        <v>54.439774768987093</v>
      </c>
      <c r="N57" s="1009">
        <f t="shared" si="4"/>
        <v>329469.81000000075</v>
      </c>
      <c r="O57" s="1009">
        <f t="shared" si="5"/>
        <v>44956.674095708768</v>
      </c>
      <c r="P57" s="992" t="s">
        <v>1471</v>
      </c>
      <c r="Q57" s="713"/>
      <c r="R57" s="992" t="s">
        <v>1461</v>
      </c>
      <c r="S57" s="963">
        <f t="shared" si="7"/>
        <v>44956.672570886607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hidden="1" customHeight="1">
      <c r="A58" s="614"/>
      <c r="B58" s="1136">
        <v>45768</v>
      </c>
      <c r="C58" s="1045" t="s">
        <v>250</v>
      </c>
      <c r="D58" s="1287"/>
      <c r="E58" s="1003">
        <v>32</v>
      </c>
      <c r="F58" s="1133" t="s">
        <v>107</v>
      </c>
      <c r="G58" s="640"/>
      <c r="H58" s="1067"/>
      <c r="I58" s="1049"/>
      <c r="J58" s="1067"/>
      <c r="K58" s="1138">
        <v>3.6</v>
      </c>
      <c r="L58" s="612">
        <f>'통장내역(환율표)'!$D$271</f>
        <v>7.329200050755901</v>
      </c>
      <c r="M58" s="1177">
        <f t="shared" si="6"/>
        <v>0.49118593776529706</v>
      </c>
      <c r="N58" s="1009">
        <f t="shared" si="4"/>
        <v>329466.21000000078</v>
      </c>
      <c r="O58" s="1009">
        <f t="shared" si="5"/>
        <v>44956.182909771</v>
      </c>
      <c r="P58" s="992" t="s">
        <v>1471</v>
      </c>
      <c r="Q58" s="713"/>
      <c r="R58" s="992" t="s">
        <v>1461</v>
      </c>
      <c r="S58" s="963">
        <f t="shared" si="7"/>
        <v>44956.181384948839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hidden="1" customHeight="1">
      <c r="A59" s="614"/>
      <c r="B59" s="1136">
        <v>45768</v>
      </c>
      <c r="C59" s="1045" t="s">
        <v>11</v>
      </c>
      <c r="D59" s="1003"/>
      <c r="E59" s="1003">
        <v>33</v>
      </c>
      <c r="F59" s="1133" t="s">
        <v>125</v>
      </c>
      <c r="G59" s="640" t="s">
        <v>145</v>
      </c>
      <c r="H59" s="1067"/>
      <c r="I59" s="1049"/>
      <c r="J59" s="1067"/>
      <c r="K59" s="1138">
        <v>15594.7</v>
      </c>
      <c r="L59" s="612">
        <f>'통장내역(환율표)'!$D$271</f>
        <v>7.329200050755901</v>
      </c>
      <c r="M59" s="1177">
        <f t="shared" si="6"/>
        <v>2127.749262130133</v>
      </c>
      <c r="N59" s="1009">
        <f t="shared" si="4"/>
        <v>313871.51000000077</v>
      </c>
      <c r="O59" s="1009">
        <f t="shared" si="5"/>
        <v>42828.433647640864</v>
      </c>
      <c r="P59" s="992" t="s">
        <v>1471</v>
      </c>
      <c r="Q59" s="713"/>
      <c r="R59" s="992" t="s">
        <v>211</v>
      </c>
      <c r="S59" s="963">
        <f t="shared" si="7"/>
        <v>42828.432122818704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hidden="1" customHeight="1">
      <c r="A60" s="614"/>
      <c r="B60" s="1136">
        <v>45768</v>
      </c>
      <c r="C60" s="1045" t="s">
        <v>1429</v>
      </c>
      <c r="D60" s="1003"/>
      <c r="E60" s="1003">
        <v>34</v>
      </c>
      <c r="F60" s="1133" t="s">
        <v>146</v>
      </c>
      <c r="G60" s="640" t="s">
        <v>147</v>
      </c>
      <c r="H60" s="1067"/>
      <c r="I60" s="1049"/>
      <c r="J60" s="1067"/>
      <c r="K60" s="1138">
        <v>12341.06</v>
      </c>
      <c r="L60" s="612">
        <f>'통장내역(환율표)'!$D$271</f>
        <v>7.329200050755901</v>
      </c>
      <c r="M60" s="1177">
        <f t="shared" si="6"/>
        <v>1683.820869199388</v>
      </c>
      <c r="N60" s="1009">
        <f t="shared" si="4"/>
        <v>301530.45000000077</v>
      </c>
      <c r="O60" s="1009">
        <f t="shared" si="5"/>
        <v>41144.612778441478</v>
      </c>
      <c r="P60" s="992" t="s">
        <v>1471</v>
      </c>
      <c r="Q60" s="713"/>
      <c r="R60" s="992" t="s">
        <v>211</v>
      </c>
      <c r="S60" s="963">
        <f t="shared" si="7"/>
        <v>41144.611253619318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hidden="1" customHeight="1">
      <c r="A61" s="614"/>
      <c r="B61" s="1136">
        <v>45768</v>
      </c>
      <c r="C61" s="1045" t="s">
        <v>865</v>
      </c>
      <c r="D61" s="1287"/>
      <c r="E61" s="1003">
        <v>35</v>
      </c>
      <c r="F61" s="1133" t="s">
        <v>107</v>
      </c>
      <c r="G61" s="640"/>
      <c r="H61" s="1067"/>
      <c r="I61" s="1049"/>
      <c r="J61" s="1067"/>
      <c r="K61" s="1138">
        <v>7.2</v>
      </c>
      <c r="L61" s="612">
        <f>'통장내역(환율표)'!$D$271</f>
        <v>7.329200050755901</v>
      </c>
      <c r="M61" s="1177">
        <f t="shared" si="6"/>
        <v>0.98237187553059413</v>
      </c>
      <c r="N61" s="1009">
        <f t="shared" si="4"/>
        <v>301523.25000000076</v>
      </c>
      <c r="O61" s="1009">
        <f t="shared" si="5"/>
        <v>41143.63040656595</v>
      </c>
      <c r="P61" s="992" t="s">
        <v>1471</v>
      </c>
      <c r="Q61" s="713"/>
      <c r="R61" s="992" t="s">
        <v>211</v>
      </c>
      <c r="S61" s="963">
        <f t="shared" si="7"/>
        <v>41143.628881743789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hidden="1" customHeight="1">
      <c r="A62" s="614"/>
      <c r="B62" s="1136">
        <v>45768</v>
      </c>
      <c r="C62" s="1045" t="s">
        <v>1430</v>
      </c>
      <c r="D62" s="1003"/>
      <c r="E62" s="1003">
        <v>36</v>
      </c>
      <c r="F62" s="1133" t="s">
        <v>146</v>
      </c>
      <c r="G62" s="640" t="s">
        <v>147</v>
      </c>
      <c r="H62" s="1067"/>
      <c r="I62" s="1049"/>
      <c r="J62" s="1067"/>
      <c r="K62" s="1138">
        <v>15.97</v>
      </c>
      <c r="L62" s="612">
        <f>'통장내역(환율표)'!$D$271</f>
        <v>7.329200050755901</v>
      </c>
      <c r="M62" s="1177">
        <f t="shared" si="6"/>
        <v>2.178955396142165</v>
      </c>
      <c r="N62" s="1009">
        <f t="shared" si="4"/>
        <v>301507.28000000078</v>
      </c>
      <c r="O62" s="1009">
        <f t="shared" si="5"/>
        <v>41141.451451169807</v>
      </c>
      <c r="P62" s="992" t="s">
        <v>1471</v>
      </c>
      <c r="Q62" s="713"/>
      <c r="R62" s="992" t="s">
        <v>1462</v>
      </c>
      <c r="S62" s="963">
        <f t="shared" si="7"/>
        <v>41141.449926347646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hidden="1" customHeight="1">
      <c r="A63" s="614"/>
      <c r="B63" s="1136">
        <v>45768</v>
      </c>
      <c r="C63" s="1045" t="s">
        <v>11</v>
      </c>
      <c r="D63" s="1003"/>
      <c r="E63" s="1003">
        <v>37</v>
      </c>
      <c r="F63" s="1133" t="s">
        <v>125</v>
      </c>
      <c r="G63" s="640" t="s">
        <v>145</v>
      </c>
      <c r="H63" s="1067"/>
      <c r="I63" s="1049"/>
      <c r="J63" s="1067"/>
      <c r="K63" s="1138">
        <v>111</v>
      </c>
      <c r="L63" s="612">
        <f>'통장내역(환율표)'!$D$271</f>
        <v>7.329200050755901</v>
      </c>
      <c r="M63" s="1177">
        <f t="shared" si="6"/>
        <v>15.144899747763326</v>
      </c>
      <c r="N63" s="1009">
        <f t="shared" si="4"/>
        <v>301396.28000000078</v>
      </c>
      <c r="O63" s="1009">
        <f t="shared" si="5"/>
        <v>41126.306551422043</v>
      </c>
      <c r="P63" s="992" t="s">
        <v>1471</v>
      </c>
      <c r="Q63" s="713"/>
      <c r="R63" s="992" t="s">
        <v>1462</v>
      </c>
      <c r="S63" s="963">
        <f t="shared" si="7"/>
        <v>41126.305026599883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hidden="1" customHeight="1">
      <c r="A64" s="614"/>
      <c r="B64" s="1136">
        <v>45768</v>
      </c>
      <c r="C64" s="1045" t="s">
        <v>19</v>
      </c>
      <c r="D64" s="1003"/>
      <c r="E64" s="1003">
        <v>38</v>
      </c>
      <c r="F64" s="1133" t="s">
        <v>116</v>
      </c>
      <c r="G64" s="640" t="s">
        <v>140</v>
      </c>
      <c r="H64" s="1067"/>
      <c r="I64" s="1049"/>
      <c r="J64" s="1067"/>
      <c r="K64" s="1138">
        <v>198.1</v>
      </c>
      <c r="L64" s="612">
        <f>'통장내역(환율표)'!$D$271</f>
        <v>7.329200050755901</v>
      </c>
      <c r="M64" s="1177">
        <f t="shared" si="6"/>
        <v>27.028870630918153</v>
      </c>
      <c r="N64" s="1009">
        <f t="shared" si="4"/>
        <v>301198.18000000081</v>
      </c>
      <c r="O64" s="1009">
        <f t="shared" si="5"/>
        <v>41099.277680791129</v>
      </c>
      <c r="P64" s="992" t="s">
        <v>1471</v>
      </c>
      <c r="Q64" s="713"/>
      <c r="R64" s="992" t="s">
        <v>1462</v>
      </c>
      <c r="S64" s="963">
        <f t="shared" si="7"/>
        <v>41099.276155968968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hidden="1" customHeight="1">
      <c r="A65" s="614"/>
      <c r="B65" s="1136">
        <v>45768</v>
      </c>
      <c r="C65" s="1045" t="s">
        <v>1431</v>
      </c>
      <c r="D65" s="1287"/>
      <c r="E65" s="1003">
        <v>39</v>
      </c>
      <c r="F65" s="1133" t="s">
        <v>107</v>
      </c>
      <c r="G65" s="640"/>
      <c r="H65" s="1067"/>
      <c r="I65" s="1049"/>
      <c r="J65" s="1067"/>
      <c r="K65" s="1138">
        <v>13</v>
      </c>
      <c r="L65" s="612">
        <f>'통장내역(환율표)'!$D$271</f>
        <v>7.329200050755901</v>
      </c>
      <c r="M65" s="1177">
        <f t="shared" si="6"/>
        <v>1.773726997485795</v>
      </c>
      <c r="N65" s="1009">
        <f t="shared" si="4"/>
        <v>301185.18000000081</v>
      </c>
      <c r="O65" s="1009">
        <f t="shared" si="5"/>
        <v>41097.503953793646</v>
      </c>
      <c r="P65" s="992" t="s">
        <v>1471</v>
      </c>
      <c r="Q65" s="713"/>
      <c r="R65" s="992" t="s">
        <v>1462</v>
      </c>
      <c r="S65" s="963">
        <f t="shared" si="7"/>
        <v>41097.502428971486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hidden="1" customHeight="1">
      <c r="A66" s="614"/>
      <c r="B66" s="1136">
        <v>45768</v>
      </c>
      <c r="C66" s="1045" t="s">
        <v>250</v>
      </c>
      <c r="D66" s="1287"/>
      <c r="E66" s="1003">
        <v>40</v>
      </c>
      <c r="F66" s="1133" t="s">
        <v>107</v>
      </c>
      <c r="G66" s="640"/>
      <c r="H66" s="1067"/>
      <c r="I66" s="1049"/>
      <c r="J66" s="1067"/>
      <c r="K66" s="1138">
        <v>3.6</v>
      </c>
      <c r="L66" s="612">
        <f>'통장내역(환율표)'!$D$271</f>
        <v>7.329200050755901</v>
      </c>
      <c r="M66" s="1177">
        <f t="shared" si="6"/>
        <v>0.49118593776529706</v>
      </c>
      <c r="N66" s="1009">
        <f t="shared" si="4"/>
        <v>301181.58000000083</v>
      </c>
      <c r="O66" s="1009">
        <f t="shared" si="5"/>
        <v>41097.012767855878</v>
      </c>
      <c r="P66" s="992" t="s">
        <v>1471</v>
      </c>
      <c r="Q66" s="713"/>
      <c r="R66" s="992" t="s">
        <v>1462</v>
      </c>
      <c r="S66" s="963">
        <f t="shared" si="7"/>
        <v>41097.011243033718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hidden="1" customHeight="1">
      <c r="A67" s="614"/>
      <c r="B67" s="1136">
        <v>45768</v>
      </c>
      <c r="C67" s="1045" t="s">
        <v>1432</v>
      </c>
      <c r="D67" s="1003"/>
      <c r="E67" s="1003">
        <v>41</v>
      </c>
      <c r="F67" s="1133" t="s">
        <v>146</v>
      </c>
      <c r="G67" s="640" t="s">
        <v>147</v>
      </c>
      <c r="H67" s="1067"/>
      <c r="I67" s="1049"/>
      <c r="J67" s="1067"/>
      <c r="K67" s="1138">
        <v>2331</v>
      </c>
      <c r="L67" s="612">
        <f>'통장내역(환율표)'!$D$271</f>
        <v>7.329200050755901</v>
      </c>
      <c r="M67" s="1177">
        <f t="shared" si="6"/>
        <v>318.04289470302984</v>
      </c>
      <c r="N67" s="1009">
        <f t="shared" si="4"/>
        <v>298850.58000000083</v>
      </c>
      <c r="O67" s="1009">
        <f t="shared" si="5"/>
        <v>40778.969873152848</v>
      </c>
      <c r="P67" s="992" t="s">
        <v>1471</v>
      </c>
      <c r="Q67" s="713"/>
      <c r="R67" s="992" t="s">
        <v>1463</v>
      </c>
      <c r="S67" s="963">
        <f t="shared" si="7"/>
        <v>40778.968348330687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hidden="1" customHeight="1">
      <c r="A68" s="614"/>
      <c r="B68" s="1136">
        <v>45768</v>
      </c>
      <c r="C68" s="1045" t="s">
        <v>1433</v>
      </c>
      <c r="D68" s="1003"/>
      <c r="E68" s="1003">
        <v>42</v>
      </c>
      <c r="F68" s="1133" t="s">
        <v>146</v>
      </c>
      <c r="G68" s="640" t="s">
        <v>147</v>
      </c>
      <c r="H68" s="1067"/>
      <c r="I68" s="1049"/>
      <c r="J68" s="1067"/>
      <c r="K68" s="1138">
        <v>163.6</v>
      </c>
      <c r="L68" s="612">
        <f>'통장내역(환율표)'!$D$271</f>
        <v>7.329200050755901</v>
      </c>
      <c r="M68" s="1177">
        <f t="shared" si="6"/>
        <v>22.321672060667389</v>
      </c>
      <c r="N68" s="1009">
        <f t="shared" si="4"/>
        <v>298686.98000000085</v>
      </c>
      <c r="O68" s="1009">
        <f t="shared" si="5"/>
        <v>40756.648201092183</v>
      </c>
      <c r="P68" s="992" t="s">
        <v>1471</v>
      </c>
      <c r="Q68" s="713"/>
      <c r="R68" s="992" t="s">
        <v>1463</v>
      </c>
      <c r="S68" s="963">
        <f t="shared" si="7"/>
        <v>40756.646676270022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hidden="1" customHeight="1">
      <c r="A69" s="614"/>
      <c r="B69" s="1136">
        <v>45768</v>
      </c>
      <c r="C69" s="1045" t="s">
        <v>1434</v>
      </c>
      <c r="D69" s="1003"/>
      <c r="E69" s="1003">
        <v>43</v>
      </c>
      <c r="F69" s="1133" t="s">
        <v>146</v>
      </c>
      <c r="G69" s="640" t="s">
        <v>147</v>
      </c>
      <c r="H69" s="1067"/>
      <c r="I69" s="1049"/>
      <c r="J69" s="1067"/>
      <c r="K69" s="1138">
        <v>369</v>
      </c>
      <c r="L69" s="612">
        <f>'통장내역(환율표)'!$D$271</f>
        <v>7.329200050755901</v>
      </c>
      <c r="M69" s="1177">
        <f t="shared" si="6"/>
        <v>50.34655862094295</v>
      </c>
      <c r="N69" s="1009">
        <f t="shared" si="4"/>
        <v>298317.98000000085</v>
      </c>
      <c r="O69" s="1009">
        <f t="shared" si="5"/>
        <v>40706.30164247124</v>
      </c>
      <c r="P69" s="992" t="s">
        <v>1471</v>
      </c>
      <c r="Q69" s="713"/>
      <c r="R69" s="992" t="s">
        <v>1463</v>
      </c>
      <c r="S69" s="963">
        <f t="shared" si="7"/>
        <v>40706.30011764908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hidden="1" customHeight="1">
      <c r="A70" s="614"/>
      <c r="B70" s="1136">
        <v>45768</v>
      </c>
      <c r="C70" s="1045" t="s">
        <v>250</v>
      </c>
      <c r="D70" s="1287"/>
      <c r="E70" s="1003">
        <v>44</v>
      </c>
      <c r="F70" s="1133" t="s">
        <v>107</v>
      </c>
      <c r="G70" s="640"/>
      <c r="H70" s="1067"/>
      <c r="I70" s="1049"/>
      <c r="J70" s="1067"/>
      <c r="K70" s="1138">
        <v>3.6</v>
      </c>
      <c r="L70" s="612">
        <f>'통장내역(환율표)'!$D$271</f>
        <v>7.329200050755901</v>
      </c>
      <c r="M70" s="1177">
        <f t="shared" si="6"/>
        <v>0.49118593776529706</v>
      </c>
      <c r="N70" s="1009">
        <f t="shared" si="4"/>
        <v>298314.38000000088</v>
      </c>
      <c r="O70" s="1009">
        <f t="shared" si="5"/>
        <v>40705.810456533472</v>
      </c>
      <c r="P70" s="992" t="s">
        <v>1471</v>
      </c>
      <c r="Q70" s="713"/>
      <c r="R70" s="992" t="s">
        <v>1463</v>
      </c>
      <c r="S70" s="963">
        <f t="shared" si="7"/>
        <v>40705.808931711312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hidden="1" customHeight="1">
      <c r="A71" s="614"/>
      <c r="B71" s="1136">
        <v>45768</v>
      </c>
      <c r="C71" s="1045" t="s">
        <v>1434</v>
      </c>
      <c r="D71" s="1003"/>
      <c r="E71" s="1003">
        <v>45</v>
      </c>
      <c r="F71" s="1133" t="s">
        <v>146</v>
      </c>
      <c r="G71" s="640" t="s">
        <v>147</v>
      </c>
      <c r="H71" s="1067"/>
      <c r="I71" s="1049"/>
      <c r="J71" s="1067"/>
      <c r="K71" s="1138">
        <v>529</v>
      </c>
      <c r="L71" s="612">
        <f>'통장내역(환율표)'!$D$271</f>
        <v>7.329200050755901</v>
      </c>
      <c r="M71" s="1177">
        <f t="shared" si="6"/>
        <v>72.177044743845045</v>
      </c>
      <c r="N71" s="1009">
        <f t="shared" si="4"/>
        <v>297785.38000000088</v>
      </c>
      <c r="O71" s="1009">
        <f t="shared" si="5"/>
        <v>40633.633411789626</v>
      </c>
      <c r="P71" s="992" t="s">
        <v>1471</v>
      </c>
      <c r="Q71" s="713"/>
      <c r="R71" s="992" t="s">
        <v>1464</v>
      </c>
      <c r="S71" s="963">
        <f t="shared" si="7"/>
        <v>40633.631886967465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hidden="1" customHeight="1">
      <c r="A72" s="614"/>
      <c r="B72" s="1136">
        <v>45768</v>
      </c>
      <c r="C72" s="1045" t="s">
        <v>1432</v>
      </c>
      <c r="D72" s="1003"/>
      <c r="E72" s="1003">
        <v>46</v>
      </c>
      <c r="F72" s="1133" t="s">
        <v>146</v>
      </c>
      <c r="G72" s="640" t="s">
        <v>147</v>
      </c>
      <c r="H72" s="1067"/>
      <c r="I72" s="1049"/>
      <c r="J72" s="1067"/>
      <c r="K72" s="1138">
        <v>2255</v>
      </c>
      <c r="L72" s="612">
        <f>'통장내역(환율표)'!$D$271</f>
        <v>7.329200050755901</v>
      </c>
      <c r="M72" s="1177">
        <f t="shared" si="6"/>
        <v>307.67341379465137</v>
      </c>
      <c r="N72" s="1009">
        <f t="shared" si="4"/>
        <v>295530.38000000088</v>
      </c>
      <c r="O72" s="1009">
        <f t="shared" si="5"/>
        <v>40325.959997994978</v>
      </c>
      <c r="P72" s="992" t="s">
        <v>1471</v>
      </c>
      <c r="Q72" s="713"/>
      <c r="R72" s="992" t="s">
        <v>1464</v>
      </c>
      <c r="S72" s="963">
        <f t="shared" si="7"/>
        <v>40325.958473172817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hidden="1" customHeight="1">
      <c r="A73" s="614"/>
      <c r="B73" s="1136">
        <v>45768</v>
      </c>
      <c r="C73" s="1045" t="s">
        <v>1433</v>
      </c>
      <c r="D73" s="1003"/>
      <c r="E73" s="1003">
        <v>47</v>
      </c>
      <c r="F73" s="1133" t="s">
        <v>146</v>
      </c>
      <c r="G73" s="640" t="s">
        <v>147</v>
      </c>
      <c r="H73" s="1067"/>
      <c r="I73" s="1049"/>
      <c r="J73" s="1067"/>
      <c r="K73" s="1138">
        <v>201</v>
      </c>
      <c r="L73" s="612">
        <f>'통장내역(환율표)'!$D$271</f>
        <v>7.329200050755901</v>
      </c>
      <c r="M73" s="1177">
        <f t="shared" si="6"/>
        <v>27.424548191895752</v>
      </c>
      <c r="N73" s="1009">
        <f t="shared" si="4"/>
        <v>295329.38000000088</v>
      </c>
      <c r="O73" s="1009">
        <f t="shared" si="5"/>
        <v>40298.535449803079</v>
      </c>
      <c r="P73" s="992" t="s">
        <v>1471</v>
      </c>
      <c r="Q73" s="713"/>
      <c r="R73" s="992" t="s">
        <v>1464</v>
      </c>
      <c r="S73" s="963">
        <f t="shared" si="7"/>
        <v>40298.533924980919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hidden="1" customHeight="1">
      <c r="A74" s="614"/>
      <c r="B74" s="1136">
        <v>45768</v>
      </c>
      <c r="C74" s="1045" t="s">
        <v>250</v>
      </c>
      <c r="D74" s="1287"/>
      <c r="E74" s="1003">
        <v>48</v>
      </c>
      <c r="F74" s="1133" t="s">
        <v>107</v>
      </c>
      <c r="G74" s="640"/>
      <c r="H74" s="1067"/>
      <c r="I74" s="1049"/>
      <c r="J74" s="1067"/>
      <c r="K74" s="1138">
        <v>3.6</v>
      </c>
      <c r="L74" s="612">
        <f>'통장내역(환율표)'!$D$271</f>
        <v>7.329200050755901</v>
      </c>
      <c r="M74" s="1177">
        <f t="shared" si="6"/>
        <v>0.49118593776529706</v>
      </c>
      <c r="N74" s="1009">
        <f t="shared" si="4"/>
        <v>295325.7800000009</v>
      </c>
      <c r="O74" s="1009">
        <f t="shared" si="5"/>
        <v>40298.044263865311</v>
      </c>
      <c r="P74" s="992" t="s">
        <v>1471</v>
      </c>
      <c r="Q74" s="713"/>
      <c r="R74" s="992" t="s">
        <v>1464</v>
      </c>
      <c r="S74" s="963">
        <f t="shared" si="7"/>
        <v>40298.042739043151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hidden="1" customHeight="1">
      <c r="A75" s="614"/>
      <c r="B75" s="1136">
        <v>45768</v>
      </c>
      <c r="C75" s="1045" t="s">
        <v>892</v>
      </c>
      <c r="D75" s="1287"/>
      <c r="E75" s="1003">
        <v>49</v>
      </c>
      <c r="F75" s="1133" t="s">
        <v>107</v>
      </c>
      <c r="G75" s="640"/>
      <c r="H75" s="1067"/>
      <c r="I75" s="1049"/>
      <c r="J75" s="1067"/>
      <c r="K75" s="667">
        <v>16000</v>
      </c>
      <c r="L75" s="612">
        <f>'통장내역(환율표)'!$D$271</f>
        <v>7.329200050755901</v>
      </c>
      <c r="M75" s="1177">
        <f t="shared" si="6"/>
        <v>2183.0486122902093</v>
      </c>
      <c r="N75" s="1009">
        <f t="shared" si="4"/>
        <v>279325.7800000009</v>
      </c>
      <c r="O75" s="1009">
        <f t="shared" si="5"/>
        <v>38114.995651575104</v>
      </c>
      <c r="P75" s="992" t="s">
        <v>1471</v>
      </c>
      <c r="Q75" s="713"/>
      <c r="R75" s="1185" t="s">
        <v>1469</v>
      </c>
      <c r="S75" s="963">
        <f t="shared" si="7"/>
        <v>38114.994126752943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hidden="1" customHeight="1">
      <c r="A76" s="614"/>
      <c r="B76" s="1136">
        <v>45768</v>
      </c>
      <c r="C76" s="1045" t="s">
        <v>947</v>
      </c>
      <c r="D76" s="1287"/>
      <c r="E76" s="1003">
        <v>49</v>
      </c>
      <c r="F76" s="1133" t="s">
        <v>107</v>
      </c>
      <c r="G76" s="640"/>
      <c r="H76" s="1067"/>
      <c r="I76" s="1049"/>
      <c r="J76" s="1067"/>
      <c r="K76" s="667">
        <v>24000</v>
      </c>
      <c r="L76" s="612">
        <f>'통장내역(환율표)'!$D$271</f>
        <v>7.329200050755901</v>
      </c>
      <c r="M76" s="1177">
        <f t="shared" si="6"/>
        <v>3274.5729184353136</v>
      </c>
      <c r="N76" s="1009">
        <f t="shared" si="4"/>
        <v>255325.7800000009</v>
      </c>
      <c r="O76" s="1009">
        <f t="shared" si="5"/>
        <v>34840.422733139792</v>
      </c>
      <c r="P76" s="992" t="s">
        <v>1471</v>
      </c>
      <c r="Q76" s="713"/>
      <c r="R76" s="1185" t="s">
        <v>1469</v>
      </c>
      <c r="S76" s="963">
        <f t="shared" si="7"/>
        <v>34840.421208317632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hidden="1" customHeight="1">
      <c r="A77" s="614"/>
      <c r="B77" s="1136">
        <v>45768</v>
      </c>
      <c r="C77" s="1045" t="s">
        <v>894</v>
      </c>
      <c r="D77" s="1287"/>
      <c r="E77" s="1003">
        <v>49</v>
      </c>
      <c r="F77" s="1133" t="s">
        <v>107</v>
      </c>
      <c r="G77" s="640"/>
      <c r="H77" s="1067"/>
      <c r="I77" s="1049"/>
      <c r="J77" s="1067"/>
      <c r="K77" s="667">
        <v>5305.1900000000005</v>
      </c>
      <c r="L77" s="612">
        <f>'통장내역(환율표)'!$D$271</f>
        <v>7.329200050755901</v>
      </c>
      <c r="M77" s="1177">
        <f t="shared" si="6"/>
        <v>723.84297921474354</v>
      </c>
      <c r="N77" s="1009">
        <f t="shared" si="4"/>
        <v>250020.5900000009</v>
      </c>
      <c r="O77" s="1009">
        <f t="shared" si="5"/>
        <v>34116.579753925049</v>
      </c>
      <c r="P77" s="992" t="s">
        <v>1471</v>
      </c>
      <c r="Q77" s="713"/>
      <c r="R77" s="1185" t="s">
        <v>1469</v>
      </c>
      <c r="S77" s="963">
        <f t="shared" si="7"/>
        <v>34116.578229102888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hidden="1" customHeight="1">
      <c r="A78" s="614"/>
      <c r="B78" s="1136">
        <v>45768</v>
      </c>
      <c r="C78" s="1045" t="s">
        <v>895</v>
      </c>
      <c r="D78" s="1287"/>
      <c r="E78" s="1003">
        <v>49</v>
      </c>
      <c r="F78" s="1133" t="s">
        <v>107</v>
      </c>
      <c r="G78" s="640"/>
      <c r="H78" s="1067"/>
      <c r="I78" s="1049"/>
      <c r="J78" s="1067"/>
      <c r="K78" s="710">
        <v>3336.8000000000011</v>
      </c>
      <c r="L78" s="612">
        <f>'통장내역(환율표)'!$D$271</f>
        <v>7.329200050755901</v>
      </c>
      <c r="M78" s="1177">
        <f t="shared" si="6"/>
        <v>455.27478809312328</v>
      </c>
      <c r="N78" s="1009">
        <f t="shared" si="4"/>
        <v>246683.79000000091</v>
      </c>
      <c r="O78" s="1009">
        <f t="shared" si="5"/>
        <v>33661.304965831929</v>
      </c>
      <c r="P78" s="992" t="s">
        <v>1471</v>
      </c>
      <c r="Q78" s="713"/>
      <c r="R78" s="1185" t="s">
        <v>1469</v>
      </c>
      <c r="S78" s="963">
        <f t="shared" si="7"/>
        <v>33661.303441009768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ht="11.25" hidden="1" customHeight="1">
      <c r="B79" s="1136">
        <v>45768</v>
      </c>
      <c r="C79" s="1045" t="s">
        <v>899</v>
      </c>
      <c r="D79" s="1287"/>
      <c r="E79" s="1003">
        <v>49</v>
      </c>
      <c r="F79" s="1133" t="s">
        <v>107</v>
      </c>
      <c r="G79" s="640"/>
      <c r="H79" s="1067"/>
      <c r="I79" s="1049"/>
      <c r="J79" s="1067"/>
      <c r="K79" s="710">
        <v>300</v>
      </c>
      <c r="L79" s="612">
        <f>'통장내역(환율표)'!$D$271</f>
        <v>7.329200050755901</v>
      </c>
      <c r="M79" s="1177">
        <f t="shared" si="6"/>
        <v>40.932161480441422</v>
      </c>
      <c r="N79" s="1009">
        <f t="shared" si="4"/>
        <v>246383.79000000091</v>
      </c>
      <c r="O79" s="1009">
        <f t="shared" si="5"/>
        <v>33620.372804351486</v>
      </c>
      <c r="P79" s="992" t="s">
        <v>1471</v>
      </c>
      <c r="Q79" s="713"/>
      <c r="R79" s="1185" t="s">
        <v>1469</v>
      </c>
      <c r="S79" s="963">
        <f t="shared" si="7"/>
        <v>33620.371279529325</v>
      </c>
    </row>
    <row r="80" spans="1:29" ht="11.25" hidden="1" customHeight="1">
      <c r="B80" s="1136">
        <v>45772</v>
      </c>
      <c r="C80" s="1045" t="s">
        <v>892</v>
      </c>
      <c r="D80" s="1287"/>
      <c r="E80" s="1003">
        <v>49</v>
      </c>
      <c r="F80" s="1133" t="s">
        <v>107</v>
      </c>
      <c r="G80" s="640"/>
      <c r="H80" s="1067"/>
      <c r="I80" s="1049"/>
      <c r="J80" s="1067"/>
      <c r="K80" s="667">
        <v>16000</v>
      </c>
      <c r="L80" s="612">
        <f>'통장내역(환율표)'!$D$271</f>
        <v>7.329200050755901</v>
      </c>
      <c r="M80" s="1177">
        <f t="shared" si="6"/>
        <v>2183.0486122902093</v>
      </c>
      <c r="N80" s="1009">
        <f t="shared" si="4"/>
        <v>230383.79000000091</v>
      </c>
      <c r="O80" s="1009">
        <f t="shared" si="5"/>
        <v>31437.324192061278</v>
      </c>
      <c r="P80" s="992" t="s">
        <v>1471</v>
      </c>
      <c r="Q80" s="713"/>
      <c r="R80" s="1185" t="s">
        <v>1470</v>
      </c>
      <c r="S80" s="963">
        <f t="shared" si="7"/>
        <v>31437.322667239117</v>
      </c>
    </row>
    <row r="81" spans="2:19" ht="11.25" hidden="1" customHeight="1">
      <c r="B81" s="1136">
        <v>45772</v>
      </c>
      <c r="C81" s="1045" t="s">
        <v>947</v>
      </c>
      <c r="D81" s="1287"/>
      <c r="E81" s="1003">
        <v>49</v>
      </c>
      <c r="F81" s="1133" t="s">
        <v>107</v>
      </c>
      <c r="G81" s="640"/>
      <c r="H81" s="1067"/>
      <c r="I81" s="1049"/>
      <c r="J81" s="1067"/>
      <c r="K81" s="667">
        <v>24000</v>
      </c>
      <c r="L81" s="612">
        <f>'통장내역(환율표)'!$D$271</f>
        <v>7.329200050755901</v>
      </c>
      <c r="M81" s="1177">
        <f t="shared" si="6"/>
        <v>3274.5729184353136</v>
      </c>
      <c r="N81" s="1009">
        <f t="shared" si="4"/>
        <v>206383.79000000091</v>
      </c>
      <c r="O81" s="1009">
        <f t="shared" si="5"/>
        <v>28162.751273625963</v>
      </c>
      <c r="P81" s="992" t="s">
        <v>1471</v>
      </c>
      <c r="Q81" s="713"/>
      <c r="R81" s="1186" t="s">
        <v>1470</v>
      </c>
      <c r="S81" s="963">
        <f t="shared" si="7"/>
        <v>28162.749748803803</v>
      </c>
    </row>
    <row r="82" spans="2:19" ht="11.25" hidden="1" customHeight="1">
      <c r="B82" s="1136">
        <v>45772</v>
      </c>
      <c r="C82" s="1045" t="s">
        <v>894</v>
      </c>
      <c r="D82" s="1287"/>
      <c r="E82" s="1003">
        <v>49</v>
      </c>
      <c r="F82" s="1133" t="s">
        <v>107</v>
      </c>
      <c r="G82" s="640"/>
      <c r="H82" s="1067"/>
      <c r="I82" s="1049"/>
      <c r="J82" s="1067"/>
      <c r="K82" s="710">
        <v>9305.19</v>
      </c>
      <c r="L82" s="612">
        <f>'통장내역(환율표)'!$D$271</f>
        <v>7.329200050755901</v>
      </c>
      <c r="M82" s="1177">
        <f t="shared" si="6"/>
        <v>1269.6051322872959</v>
      </c>
      <c r="N82" s="1009">
        <f t="shared" si="4"/>
        <v>197078.60000000091</v>
      </c>
      <c r="O82" s="1009">
        <f t="shared" si="5"/>
        <v>26893.146141338668</v>
      </c>
      <c r="P82" s="992" t="s">
        <v>1471</v>
      </c>
      <c r="Q82" s="713"/>
      <c r="R82" s="1186" t="s">
        <v>1470</v>
      </c>
      <c r="S82" s="963">
        <f t="shared" si="7"/>
        <v>26893.144616516507</v>
      </c>
    </row>
    <row r="83" spans="2:19" ht="11.25" hidden="1" customHeight="1">
      <c r="B83" s="1136">
        <v>45772</v>
      </c>
      <c r="C83" s="1045" t="s">
        <v>895</v>
      </c>
      <c r="D83" s="1287"/>
      <c r="E83" s="1003">
        <v>49</v>
      </c>
      <c r="F83" s="1133" t="s">
        <v>107</v>
      </c>
      <c r="G83" s="640"/>
      <c r="H83" s="1067"/>
      <c r="I83" s="1049"/>
      <c r="J83" s="1067"/>
      <c r="K83" s="710">
        <v>3144.8000000000011</v>
      </c>
      <c r="L83" s="612">
        <f>'통장내역(환율표)'!$D$271</f>
        <v>7.329200050755901</v>
      </c>
      <c r="M83" s="1177">
        <f t="shared" si="6"/>
        <v>429.07820474564073</v>
      </c>
      <c r="N83" s="1009">
        <f t="shared" si="4"/>
        <v>193933.80000000092</v>
      </c>
      <c r="O83" s="1009">
        <f t="shared" si="5"/>
        <v>26464.067936593026</v>
      </c>
      <c r="P83" s="992" t="s">
        <v>1471</v>
      </c>
      <c r="Q83" s="713"/>
      <c r="R83" s="1186" t="s">
        <v>1470</v>
      </c>
      <c r="S83" s="963">
        <f t="shared" si="7"/>
        <v>26464.066411770866</v>
      </c>
    </row>
    <row r="84" spans="2:19" ht="11.25" hidden="1" customHeight="1">
      <c r="B84" s="1136">
        <v>45772</v>
      </c>
      <c r="C84" s="1045" t="s">
        <v>899</v>
      </c>
      <c r="D84" s="1287"/>
      <c r="E84" s="1003">
        <v>49</v>
      </c>
      <c r="F84" s="1133" t="s">
        <v>107</v>
      </c>
      <c r="G84" s="640"/>
      <c r="H84" s="1067"/>
      <c r="I84" s="1049"/>
      <c r="J84" s="1067"/>
      <c r="K84" s="710">
        <v>300</v>
      </c>
      <c r="L84" s="612">
        <f>'통장내역(환율표)'!$D$271</f>
        <v>7.329200050755901</v>
      </c>
      <c r="M84" s="1177">
        <f t="shared" si="6"/>
        <v>40.932161480441422</v>
      </c>
      <c r="N84" s="1009">
        <f t="shared" si="4"/>
        <v>193633.80000000092</v>
      </c>
      <c r="O84" s="1009">
        <f t="shared" si="5"/>
        <v>26423.135775112583</v>
      </c>
      <c r="P84" s="992" t="s">
        <v>1471</v>
      </c>
      <c r="Q84" s="713"/>
      <c r="R84" s="1186" t="s">
        <v>1470</v>
      </c>
      <c r="S84" s="963">
        <f t="shared" si="7"/>
        <v>26423.134250290423</v>
      </c>
    </row>
    <row r="85" spans="2:19" ht="11.25" customHeight="1">
      <c r="B85" s="1136">
        <v>45772</v>
      </c>
      <c r="C85" s="1045" t="s">
        <v>898</v>
      </c>
      <c r="D85" s="1003"/>
      <c r="E85" s="1003">
        <v>49</v>
      </c>
      <c r="F85" s="1133" t="s">
        <v>107</v>
      </c>
      <c r="G85" s="640"/>
      <c r="H85" s="1067"/>
      <c r="I85" s="1049"/>
      <c r="J85" s="1067"/>
      <c r="K85" s="711">
        <v>25750</v>
      </c>
      <c r="L85" s="612">
        <f>'통장내역(환율표)'!$D$271</f>
        <v>7.329200050755901</v>
      </c>
      <c r="M85" s="1177">
        <f t="shared" si="6"/>
        <v>3513.3438604045555</v>
      </c>
      <c r="N85" s="1009">
        <f t="shared" si="4"/>
        <v>167883.80000000092</v>
      </c>
      <c r="O85" s="1009">
        <f t="shared" si="5"/>
        <v>22909.791914708028</v>
      </c>
      <c r="P85" s="992" t="s">
        <v>1471</v>
      </c>
      <c r="Q85" s="713"/>
      <c r="R85" s="1185" t="s">
        <v>1465</v>
      </c>
      <c r="S85" s="963">
        <f t="shared" si="7"/>
        <v>22909.790389885868</v>
      </c>
    </row>
    <row r="86" spans="2:19" ht="11.25" customHeight="1">
      <c r="B86" s="1136">
        <v>45772</v>
      </c>
      <c r="C86" s="1045" t="s">
        <v>1118</v>
      </c>
      <c r="D86" s="1003"/>
      <c r="E86" s="1003">
        <v>49</v>
      </c>
      <c r="F86" s="1133" t="s">
        <v>107</v>
      </c>
      <c r="G86" s="640"/>
      <c r="H86" s="1067"/>
      <c r="I86" s="1049"/>
      <c r="J86" s="1067"/>
      <c r="K86" s="711">
        <v>12875</v>
      </c>
      <c r="L86" s="612">
        <f>'통장내역(환율표)'!$D$271</f>
        <v>7.329200050755901</v>
      </c>
      <c r="M86" s="1177">
        <f t="shared" si="6"/>
        <v>1756.6719302022777</v>
      </c>
      <c r="N86" s="1009">
        <f t="shared" si="4"/>
        <v>155008.80000000092</v>
      </c>
      <c r="O86" s="1009">
        <f t="shared" si="5"/>
        <v>21153.119984505749</v>
      </c>
      <c r="P86" s="992" t="s">
        <v>1471</v>
      </c>
      <c r="Q86" s="713"/>
      <c r="R86" s="1185" t="s">
        <v>1465</v>
      </c>
      <c r="S86" s="963">
        <f t="shared" si="7"/>
        <v>21153.118459683588</v>
      </c>
    </row>
    <row r="87" spans="2:19" ht="11.25" hidden="1" customHeight="1">
      <c r="B87" s="1136">
        <v>45772</v>
      </c>
      <c r="C87" s="1045" t="s">
        <v>948</v>
      </c>
      <c r="D87" s="1287"/>
      <c r="E87" s="1003">
        <v>49</v>
      </c>
      <c r="F87" s="1133" t="s">
        <v>107</v>
      </c>
      <c r="G87" s="640"/>
      <c r="H87" s="1067"/>
      <c r="I87" s="1049"/>
      <c r="J87" s="1067"/>
      <c r="K87" s="710">
        <v>7431.44</v>
      </c>
      <c r="L87" s="612">
        <f>'통장내역(환율표)'!$D$271</f>
        <v>7.329200050755901</v>
      </c>
      <c r="M87" s="1177">
        <f t="shared" si="6"/>
        <v>1013.949673707372</v>
      </c>
      <c r="N87" s="1009">
        <f t="shared" si="4"/>
        <v>147577.36000000092</v>
      </c>
      <c r="O87" s="1009">
        <f t="shared" si="5"/>
        <v>20139.170310798378</v>
      </c>
      <c r="P87" s="992" t="s">
        <v>1471</v>
      </c>
      <c r="Q87" s="713"/>
      <c r="R87" s="1185" t="s">
        <v>1465</v>
      </c>
      <c r="S87" s="963">
        <f t="shared" si="7"/>
        <v>20139.168785976217</v>
      </c>
    </row>
    <row r="88" spans="2:19" ht="11.25" hidden="1" customHeight="1">
      <c r="B88" s="1136">
        <v>45772</v>
      </c>
      <c r="C88" s="1045" t="s">
        <v>899</v>
      </c>
      <c r="D88" s="1287"/>
      <c r="E88" s="1003">
        <v>49</v>
      </c>
      <c r="F88" s="1133" t="s">
        <v>107</v>
      </c>
      <c r="G88" s="640"/>
      <c r="H88" s="1067"/>
      <c r="I88" s="1049"/>
      <c r="J88" s="1067"/>
      <c r="K88" s="710">
        <v>300</v>
      </c>
      <c r="L88" s="612">
        <f>'통장내역(환율표)'!$D$271</f>
        <v>7.329200050755901</v>
      </c>
      <c r="M88" s="1177">
        <f t="shared" si="6"/>
        <v>40.932161480441422</v>
      </c>
      <c r="N88" s="1009">
        <f t="shared" ref="N88:N104" si="8">N87+H88-K88</f>
        <v>147277.36000000092</v>
      </c>
      <c r="O88" s="1009">
        <f t="shared" ref="O88:O104" si="9">O87+J88-M88</f>
        <v>20098.238149317935</v>
      </c>
      <c r="P88" s="992" t="s">
        <v>1471</v>
      </c>
      <c r="Q88" s="713"/>
      <c r="R88" s="1185" t="s">
        <v>1465</v>
      </c>
      <c r="S88" s="963">
        <f t="shared" si="7"/>
        <v>20098.236624495774</v>
      </c>
    </row>
    <row r="89" spans="2:19" ht="11.25" customHeight="1">
      <c r="B89" s="1136">
        <v>45772</v>
      </c>
      <c r="C89" s="1045" t="s">
        <v>992</v>
      </c>
      <c r="D89" s="1003"/>
      <c r="E89" s="1003">
        <v>49</v>
      </c>
      <c r="F89" s="1133" t="s">
        <v>107</v>
      </c>
      <c r="G89" s="640"/>
      <c r="H89" s="1067"/>
      <c r="I89" s="1049"/>
      <c r="J89" s="1067"/>
      <c r="K89" s="710">
        <v>800</v>
      </c>
      <c r="L89" s="612">
        <f>'통장내역(환율표)'!$D$271</f>
        <v>7.329200050755901</v>
      </c>
      <c r="M89" s="1177">
        <f t="shared" ref="M89:M104" si="10">K89/L89</f>
        <v>109.15243061451045</v>
      </c>
      <c r="N89" s="1009">
        <f t="shared" si="8"/>
        <v>146477.36000000092</v>
      </c>
      <c r="O89" s="1009">
        <f t="shared" si="9"/>
        <v>19989.085718703423</v>
      </c>
      <c r="P89" s="992" t="s">
        <v>1471</v>
      </c>
      <c r="Q89" s="713"/>
      <c r="R89" s="1185" t="s">
        <v>1465</v>
      </c>
      <c r="S89" s="963">
        <f t="shared" si="7"/>
        <v>19989.084193881263</v>
      </c>
    </row>
    <row r="90" spans="2:19" ht="11.25" customHeight="1">
      <c r="B90" s="1136">
        <v>45772</v>
      </c>
      <c r="C90" s="1045" t="s">
        <v>898</v>
      </c>
      <c r="D90" s="1003"/>
      <c r="E90" s="1003">
        <v>49</v>
      </c>
      <c r="F90" s="1133" t="s">
        <v>107</v>
      </c>
      <c r="G90" s="640"/>
      <c r="H90" s="1067"/>
      <c r="I90" s="1049"/>
      <c r="J90" s="1067"/>
      <c r="K90" s="711">
        <v>13390</v>
      </c>
      <c r="L90" s="612">
        <f>'통장내역(환율표)'!$D$271</f>
        <v>7.329200050755901</v>
      </c>
      <c r="M90" s="1177">
        <f t="shared" si="10"/>
        <v>1826.9388074103688</v>
      </c>
      <c r="N90" s="1009">
        <f t="shared" si="8"/>
        <v>133087.36000000092</v>
      </c>
      <c r="O90" s="1009">
        <f t="shared" si="9"/>
        <v>18162.146911293054</v>
      </c>
      <c r="P90" s="992" t="s">
        <v>1471</v>
      </c>
      <c r="Q90" s="713"/>
      <c r="R90" s="1187" t="s">
        <v>1466</v>
      </c>
      <c r="S90" s="963">
        <f t="shared" ref="S90:S104" si="11">S89-M90+J90</f>
        <v>18162.145386470893</v>
      </c>
    </row>
    <row r="91" spans="2:19" ht="11.25" customHeight="1">
      <c r="B91" s="1136">
        <v>45772</v>
      </c>
      <c r="C91" s="1045" t="s">
        <v>1118</v>
      </c>
      <c r="D91" s="1003"/>
      <c r="E91" s="1003">
        <v>49</v>
      </c>
      <c r="F91" s="1133" t="s">
        <v>107</v>
      </c>
      <c r="G91" s="640"/>
      <c r="H91" s="1067"/>
      <c r="I91" s="1049"/>
      <c r="J91" s="1067"/>
      <c r="K91" s="711">
        <v>4120</v>
      </c>
      <c r="L91" s="612">
        <f>'통장내역(환율표)'!$D$271</f>
        <v>7.329200050755901</v>
      </c>
      <c r="M91" s="1177">
        <f t="shared" si="10"/>
        <v>562.13501766472882</v>
      </c>
      <c r="N91" s="1009">
        <f t="shared" si="8"/>
        <v>128967.36000000092</v>
      </c>
      <c r="O91" s="1009">
        <f t="shared" si="9"/>
        <v>17600.011893628325</v>
      </c>
      <c r="P91" s="992" t="s">
        <v>1471</v>
      </c>
      <c r="Q91" s="713"/>
      <c r="R91" s="1187" t="s">
        <v>1466</v>
      </c>
      <c r="S91" s="963">
        <f t="shared" si="11"/>
        <v>17600.010368806164</v>
      </c>
    </row>
    <row r="92" spans="2:19" ht="11.25" hidden="1" customHeight="1">
      <c r="B92" s="1136">
        <v>45772</v>
      </c>
      <c r="C92" s="1045" t="s">
        <v>948</v>
      </c>
      <c r="D92" s="1287"/>
      <c r="E92" s="1003">
        <v>49</v>
      </c>
      <c r="F92" s="1133" t="s">
        <v>107</v>
      </c>
      <c r="G92" s="640"/>
      <c r="H92" s="1067"/>
      <c r="I92" s="1049"/>
      <c r="J92" s="1067"/>
      <c r="K92" s="710">
        <v>3281.57</v>
      </c>
      <c r="L92" s="612">
        <f>'통장내역(환율표)'!$D$271</f>
        <v>7.329200050755901</v>
      </c>
      <c r="M92" s="1177">
        <f t="shared" si="10"/>
        <v>447.73917716457385</v>
      </c>
      <c r="N92" s="1009">
        <f t="shared" si="8"/>
        <v>125685.79000000091</v>
      </c>
      <c r="O92" s="1009">
        <f t="shared" si="9"/>
        <v>17152.272716463751</v>
      </c>
      <c r="P92" s="992" t="s">
        <v>1471</v>
      </c>
      <c r="Q92" s="713"/>
      <c r="R92" s="1187" t="s">
        <v>1466</v>
      </c>
      <c r="S92" s="963">
        <f t="shared" si="11"/>
        <v>17152.27119164159</v>
      </c>
    </row>
    <row r="93" spans="2:19" ht="11.25" hidden="1" customHeight="1">
      <c r="B93" s="1136">
        <v>45772</v>
      </c>
      <c r="C93" s="1045" t="s">
        <v>899</v>
      </c>
      <c r="D93" s="1287"/>
      <c r="E93" s="1003">
        <v>49</v>
      </c>
      <c r="F93" s="1133" t="s">
        <v>107</v>
      </c>
      <c r="G93" s="640"/>
      <c r="H93" s="1067"/>
      <c r="I93" s="1049"/>
      <c r="J93" s="1067"/>
      <c r="K93" s="710">
        <v>300</v>
      </c>
      <c r="L93" s="612">
        <f>'통장내역(환율표)'!$D$271</f>
        <v>7.329200050755901</v>
      </c>
      <c r="M93" s="1177">
        <f t="shared" si="10"/>
        <v>40.932161480441422</v>
      </c>
      <c r="N93" s="1009">
        <f t="shared" si="8"/>
        <v>125385.79000000091</v>
      </c>
      <c r="O93" s="1009">
        <f t="shared" si="9"/>
        <v>17111.340554983308</v>
      </c>
      <c r="P93" s="992" t="s">
        <v>1471</v>
      </c>
      <c r="Q93" s="713"/>
      <c r="R93" s="1187" t="s">
        <v>1466</v>
      </c>
      <c r="S93" s="963">
        <f t="shared" si="11"/>
        <v>17111.339030161147</v>
      </c>
    </row>
    <row r="94" spans="2:19" ht="11.25" customHeight="1">
      <c r="B94" s="1136">
        <v>45772</v>
      </c>
      <c r="C94" s="1045" t="s">
        <v>992</v>
      </c>
      <c r="D94" s="1003"/>
      <c r="E94" s="1003">
        <v>49</v>
      </c>
      <c r="F94" s="1133" t="s">
        <v>107</v>
      </c>
      <c r="G94" s="640"/>
      <c r="H94" s="1067"/>
      <c r="I94" s="1049"/>
      <c r="J94" s="1067"/>
      <c r="K94" s="710">
        <v>200</v>
      </c>
      <c r="L94" s="612">
        <f>'통장내역(환율표)'!$D$271</f>
        <v>7.329200050755901</v>
      </c>
      <c r="M94" s="1177">
        <f t="shared" si="10"/>
        <v>27.288107653627613</v>
      </c>
      <c r="N94" s="1009">
        <f t="shared" si="8"/>
        <v>125185.79000000091</v>
      </c>
      <c r="O94" s="1009">
        <f t="shared" si="9"/>
        <v>17084.052447329679</v>
      </c>
      <c r="P94" s="992" t="s">
        <v>1471</v>
      </c>
      <c r="Q94" s="713"/>
      <c r="R94" s="1187" t="s">
        <v>1466</v>
      </c>
      <c r="S94" s="963">
        <f t="shared" si="11"/>
        <v>17084.050922507518</v>
      </c>
    </row>
    <row r="95" spans="2:19" ht="11.25" customHeight="1">
      <c r="B95" s="1136">
        <v>45772</v>
      </c>
      <c r="C95" s="1045" t="s">
        <v>898</v>
      </c>
      <c r="D95" s="1003"/>
      <c r="E95" s="1003">
        <v>49</v>
      </c>
      <c r="F95" s="1133" t="s">
        <v>107</v>
      </c>
      <c r="G95" s="640"/>
      <c r="H95" s="1067"/>
      <c r="I95" s="1049"/>
      <c r="J95" s="1067"/>
      <c r="K95" s="711">
        <v>25750</v>
      </c>
      <c r="L95" s="612">
        <f>'통장내역(환율표)'!$D$271</f>
        <v>7.329200050755901</v>
      </c>
      <c r="M95" s="1177">
        <f t="shared" si="10"/>
        <v>3513.3438604045555</v>
      </c>
      <c r="N95" s="1009">
        <f t="shared" si="8"/>
        <v>99435.79000000091</v>
      </c>
      <c r="O95" s="1009">
        <f t="shared" si="9"/>
        <v>13570.708586925124</v>
      </c>
      <c r="P95" s="992" t="s">
        <v>1471</v>
      </c>
      <c r="Q95" s="713"/>
      <c r="R95" s="1185" t="s">
        <v>1467</v>
      </c>
      <c r="S95" s="963">
        <f t="shared" si="11"/>
        <v>13570.707062102963</v>
      </c>
    </row>
    <row r="96" spans="2:19" ht="11.25" customHeight="1">
      <c r="B96" s="1136">
        <v>45772</v>
      </c>
      <c r="C96" s="1045" t="s">
        <v>1118</v>
      </c>
      <c r="D96" s="1003"/>
      <c r="E96" s="1003">
        <v>49</v>
      </c>
      <c r="F96" s="1133" t="s">
        <v>107</v>
      </c>
      <c r="G96" s="640"/>
      <c r="H96" s="1067"/>
      <c r="I96" s="1049"/>
      <c r="J96" s="1067"/>
      <c r="K96" s="711">
        <v>10300</v>
      </c>
      <c r="L96" s="612">
        <f>'통장내역(환율표)'!$D$271</f>
        <v>7.329200050755901</v>
      </c>
      <c r="M96" s="1177">
        <f t="shared" si="10"/>
        <v>1405.3375441618221</v>
      </c>
      <c r="N96" s="1009">
        <f t="shared" si="8"/>
        <v>89135.79000000091</v>
      </c>
      <c r="O96" s="1009">
        <f t="shared" si="9"/>
        <v>12165.371042763301</v>
      </c>
      <c r="P96" s="992" t="s">
        <v>1471</v>
      </c>
      <c r="Q96" s="713"/>
      <c r="R96" s="1185" t="s">
        <v>1467</v>
      </c>
      <c r="S96" s="963">
        <f t="shared" si="11"/>
        <v>12165.369517941141</v>
      </c>
    </row>
    <row r="97" spans="2:19" ht="11.25" hidden="1" customHeight="1">
      <c r="B97" s="1136">
        <v>45772</v>
      </c>
      <c r="C97" s="1045" t="s">
        <v>948</v>
      </c>
      <c r="D97" s="1287"/>
      <c r="E97" s="1003">
        <v>49</v>
      </c>
      <c r="F97" s="1133" t="s">
        <v>107</v>
      </c>
      <c r="G97" s="640"/>
      <c r="H97" s="1067"/>
      <c r="I97" s="1049"/>
      <c r="J97" s="1067"/>
      <c r="K97" s="710">
        <v>7431.44</v>
      </c>
      <c r="L97" s="612">
        <f>'통장내역(환율표)'!$D$271</f>
        <v>7.329200050755901</v>
      </c>
      <c r="M97" s="1177">
        <f t="shared" si="10"/>
        <v>1013.949673707372</v>
      </c>
      <c r="N97" s="1009">
        <f t="shared" si="8"/>
        <v>81704.350000000908</v>
      </c>
      <c r="O97" s="1009">
        <f t="shared" si="9"/>
        <v>11151.42136905593</v>
      </c>
      <c r="P97" s="992" t="s">
        <v>1471</v>
      </c>
      <c r="Q97" s="713"/>
      <c r="R97" s="1185" t="s">
        <v>1467</v>
      </c>
      <c r="S97" s="963">
        <f t="shared" si="11"/>
        <v>11151.419844233769</v>
      </c>
    </row>
    <row r="98" spans="2:19" ht="11.25" hidden="1" customHeight="1">
      <c r="B98" s="1136">
        <v>45772</v>
      </c>
      <c r="C98" s="1045" t="s">
        <v>899</v>
      </c>
      <c r="D98" s="1287"/>
      <c r="E98" s="1003">
        <v>49</v>
      </c>
      <c r="F98" s="1133" t="s">
        <v>107</v>
      </c>
      <c r="G98" s="640"/>
      <c r="H98" s="1067"/>
      <c r="I98" s="1049"/>
      <c r="J98" s="1067"/>
      <c r="K98" s="710">
        <v>300</v>
      </c>
      <c r="L98" s="612">
        <f>'통장내역(환율표)'!$D$271</f>
        <v>7.329200050755901</v>
      </c>
      <c r="M98" s="1177">
        <f t="shared" si="10"/>
        <v>40.932161480441422</v>
      </c>
      <c r="N98" s="1009">
        <f t="shared" si="8"/>
        <v>81404.350000000908</v>
      </c>
      <c r="O98" s="1009">
        <f t="shared" si="9"/>
        <v>11110.489207575489</v>
      </c>
      <c r="P98" s="992" t="s">
        <v>1471</v>
      </c>
      <c r="Q98" s="713"/>
      <c r="R98" s="1185" t="s">
        <v>1467</v>
      </c>
      <c r="S98" s="963">
        <f t="shared" si="11"/>
        <v>11110.487682753328</v>
      </c>
    </row>
    <row r="99" spans="2:19" ht="11.25" customHeight="1">
      <c r="B99" s="1136">
        <v>45772</v>
      </c>
      <c r="C99" s="1045" t="s">
        <v>992</v>
      </c>
      <c r="D99" s="1003"/>
      <c r="E99" s="1003">
        <v>49</v>
      </c>
      <c r="F99" s="1133" t="s">
        <v>107</v>
      </c>
      <c r="G99" s="640"/>
      <c r="H99" s="1067"/>
      <c r="I99" s="1049"/>
      <c r="J99" s="1067"/>
      <c r="K99" s="710">
        <v>200</v>
      </c>
      <c r="L99" s="612">
        <f>'통장내역(환율표)'!$D$271</f>
        <v>7.329200050755901</v>
      </c>
      <c r="M99" s="1177">
        <f t="shared" si="10"/>
        <v>27.288107653627613</v>
      </c>
      <c r="N99" s="1009">
        <f t="shared" si="8"/>
        <v>81204.350000000908</v>
      </c>
      <c r="O99" s="1009">
        <f t="shared" si="9"/>
        <v>11083.201099921862</v>
      </c>
      <c r="P99" s="992" t="s">
        <v>1471</v>
      </c>
      <c r="Q99" s="713"/>
      <c r="R99" s="1185" t="s">
        <v>1467</v>
      </c>
      <c r="S99" s="963">
        <f t="shared" si="11"/>
        <v>11083.199575099701</v>
      </c>
    </row>
    <row r="100" spans="2:19" ht="11.25" customHeight="1">
      <c r="B100" s="1136">
        <v>45772</v>
      </c>
      <c r="C100" s="1045" t="s">
        <v>898</v>
      </c>
      <c r="D100" s="1003"/>
      <c r="E100" s="1003">
        <v>49</v>
      </c>
      <c r="F100" s="1133" t="s">
        <v>107</v>
      </c>
      <c r="G100" s="640"/>
      <c r="H100" s="1067"/>
      <c r="I100" s="1049"/>
      <c r="J100" s="1067"/>
      <c r="K100" s="710">
        <v>21300</v>
      </c>
      <c r="L100" s="612">
        <f>'통장내역(환율표)'!$D$271</f>
        <v>7.329200050755901</v>
      </c>
      <c r="M100" s="1177">
        <f t="shared" si="10"/>
        <v>2906.1834651113409</v>
      </c>
      <c r="N100" s="1009">
        <f t="shared" si="8"/>
        <v>59904.350000000908</v>
      </c>
      <c r="O100" s="1009">
        <f t="shared" si="9"/>
        <v>8177.0176348105215</v>
      </c>
      <c r="P100" s="992" t="s">
        <v>1471</v>
      </c>
      <c r="Q100" s="713"/>
      <c r="R100" s="1185" t="s">
        <v>1468</v>
      </c>
      <c r="S100" s="963">
        <f t="shared" si="11"/>
        <v>8177.0161099883608</v>
      </c>
    </row>
    <row r="101" spans="2:19" ht="11.25" customHeight="1">
      <c r="B101" s="1136">
        <v>45772</v>
      </c>
      <c r="C101" s="1045" t="s">
        <v>1118</v>
      </c>
      <c r="D101" s="1003"/>
      <c r="E101" s="1003">
        <v>49</v>
      </c>
      <c r="F101" s="1133" t="s">
        <v>107</v>
      </c>
      <c r="G101" s="640"/>
      <c r="H101" s="1067"/>
      <c r="I101" s="1049"/>
      <c r="J101" s="1067"/>
      <c r="K101" s="710">
        <v>8600</v>
      </c>
      <c r="L101" s="612">
        <f>'통장내역(환율표)'!$D$271</f>
        <v>7.329200050755901</v>
      </c>
      <c r="M101" s="1177">
        <f t="shared" si="10"/>
        <v>1173.3886291059873</v>
      </c>
      <c r="N101" s="1009">
        <f t="shared" si="8"/>
        <v>51304.350000000908</v>
      </c>
      <c r="O101" s="1009">
        <f t="shared" si="9"/>
        <v>7003.6290057045344</v>
      </c>
      <c r="P101" s="992" t="s">
        <v>1471</v>
      </c>
      <c r="Q101" s="713"/>
      <c r="R101" s="1185" t="s">
        <v>1468</v>
      </c>
      <c r="S101" s="963">
        <f t="shared" si="11"/>
        <v>7003.6274808823737</v>
      </c>
    </row>
    <row r="102" spans="2:19" ht="11.25" hidden="1" customHeight="1">
      <c r="B102" s="1136">
        <v>45772</v>
      </c>
      <c r="C102" s="1045" t="s">
        <v>948</v>
      </c>
      <c r="D102" s="1287"/>
      <c r="E102" s="1003">
        <v>49</v>
      </c>
      <c r="F102" s="1133" t="s">
        <v>107</v>
      </c>
      <c r="G102" s="640"/>
      <c r="H102" s="1067"/>
      <c r="I102" s="1049"/>
      <c r="J102" s="1067"/>
      <c r="K102" s="710">
        <v>5941.29</v>
      </c>
      <c r="L102" s="612">
        <f>'통장내역(환율표)'!$D$271</f>
        <v>7.329200050755901</v>
      </c>
      <c r="M102" s="1177">
        <f t="shared" si="10"/>
        <v>810.63280560710598</v>
      </c>
      <c r="N102" s="1009">
        <f t="shared" si="8"/>
        <v>45363.060000000907</v>
      </c>
      <c r="O102" s="1009">
        <f t="shared" si="9"/>
        <v>6192.9962000974283</v>
      </c>
      <c r="P102" s="992" t="s">
        <v>1471</v>
      </c>
      <c r="Q102" s="713"/>
      <c r="R102" s="1185" t="s">
        <v>1468</v>
      </c>
      <c r="S102" s="963">
        <f t="shared" si="11"/>
        <v>6192.9946752752676</v>
      </c>
    </row>
    <row r="103" spans="2:19" ht="11.25" hidden="1" customHeight="1">
      <c r="B103" s="1136">
        <v>45772</v>
      </c>
      <c r="C103" s="1045" t="s">
        <v>899</v>
      </c>
      <c r="D103" s="1287"/>
      <c r="E103" s="1003">
        <v>49</v>
      </c>
      <c r="F103" s="1133" t="s">
        <v>107</v>
      </c>
      <c r="G103" s="640"/>
      <c r="H103" s="1067"/>
      <c r="I103" s="1049"/>
      <c r="J103" s="1067"/>
      <c r="K103" s="710">
        <v>300</v>
      </c>
      <c r="L103" s="612">
        <f>'통장내역(환율표)'!$D$271</f>
        <v>7.329200050755901</v>
      </c>
      <c r="M103" s="1177">
        <f t="shared" si="10"/>
        <v>40.932161480441422</v>
      </c>
      <c r="N103" s="1009">
        <f t="shared" si="8"/>
        <v>45063.060000000907</v>
      </c>
      <c r="O103" s="1009">
        <f t="shared" si="9"/>
        <v>6152.0640386169871</v>
      </c>
      <c r="P103" s="992" t="s">
        <v>1471</v>
      </c>
      <c r="Q103" s="713"/>
      <c r="R103" s="1185" t="s">
        <v>1468</v>
      </c>
      <c r="S103" s="963">
        <f t="shared" si="11"/>
        <v>6152.0625137948264</v>
      </c>
    </row>
    <row r="104" spans="2:19" ht="11.25" hidden="1" customHeight="1">
      <c r="B104" s="1136">
        <v>45772</v>
      </c>
      <c r="C104" s="1045" t="s">
        <v>115</v>
      </c>
      <c r="D104" s="1287"/>
      <c r="E104" s="998">
        <v>50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'통장내역(환율표)'!$D$271</f>
        <v>7.329200050755901</v>
      </c>
      <c r="M104" s="1177">
        <f t="shared" si="10"/>
        <v>1.6372864592176568</v>
      </c>
      <c r="N104" s="1009">
        <f t="shared" si="8"/>
        <v>45051.060000000907</v>
      </c>
      <c r="O104" s="1009">
        <f t="shared" si="9"/>
        <v>6150.4267521577694</v>
      </c>
      <c r="P104" s="992" t="s">
        <v>1471</v>
      </c>
      <c r="Q104" s="713"/>
      <c r="R104" s="992"/>
      <c r="S104" s="963">
        <f t="shared" si="11"/>
        <v>6150.4252273356087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2">
      <colorFilter dxfId="2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3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101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5" style="614" customWidth="1"/>
    <col min="2" max="2" width="9.75" style="589" customWidth="1"/>
    <col min="3" max="3" width="24" style="590" customWidth="1"/>
    <col min="4" max="4" width="9.75" style="531" customWidth="1"/>
    <col min="5" max="5" width="12.125" style="531" customWidth="1"/>
    <col min="6" max="6" width="12.5" style="531" customWidth="1"/>
    <col min="7" max="7" width="9.875" style="559" customWidth="1"/>
    <col min="8" max="8" width="9.75" style="531" customWidth="1"/>
    <col min="9" max="9" width="9.875" style="531" customWidth="1"/>
    <col min="10" max="10" width="10.5" style="559" customWidth="1"/>
    <col min="11" max="11" width="11" style="971" customWidth="1"/>
    <col min="12" max="12" width="11.125" style="531" customWidth="1"/>
    <col min="13" max="13" width="9.75" style="531" customWidth="1"/>
    <col min="14" max="14" width="12.375" style="531" customWidth="1"/>
    <col min="15" max="15" width="9.875" style="531" customWidth="1"/>
    <col min="16" max="16" width="10.75" style="531" customWidth="1"/>
    <col min="17" max="17" width="9.625" style="531" customWidth="1"/>
    <col min="18" max="18" width="31.5" style="559" customWidth="1"/>
    <col min="19" max="19" width="10.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1472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1457</v>
      </c>
      <c r="C3" s="547"/>
      <c r="D3" s="547"/>
      <c r="E3" s="547"/>
      <c r="F3" s="1064">
        <v>1482.9</v>
      </c>
      <c r="G3" s="550"/>
      <c r="H3" s="546" t="s">
        <v>1484</v>
      </c>
      <c r="I3" s="547"/>
      <c r="K3" s="1155"/>
      <c r="L3" s="1064">
        <v>1405.6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3161.4</v>
      </c>
      <c r="E5" s="566">
        <v>431.34</v>
      </c>
      <c r="F5" s="567">
        <f>ROUND(E5*$F$3,0)</f>
        <v>639634</v>
      </c>
      <c r="G5" s="568"/>
      <c r="H5" s="569" t="s">
        <v>11</v>
      </c>
      <c r="I5" s="569" t="s">
        <v>12</v>
      </c>
      <c r="J5" s="766">
        <v>14265.08</v>
      </c>
      <c r="K5" s="1156">
        <v>1986.7</v>
      </c>
      <c r="L5" s="723">
        <f>ROUND(K5*$L$3,0)</f>
        <v>2792506</v>
      </c>
      <c r="M5" s="931">
        <f>L5+F5</f>
        <v>3432140</v>
      </c>
      <c r="N5" s="546"/>
      <c r="O5" s="546"/>
      <c r="P5" s="546"/>
      <c r="Q5" s="546"/>
      <c r="R5" s="546"/>
      <c r="S5" s="1117">
        <f>F5+L5+R5</f>
        <v>3432140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11847.426888358515</v>
      </c>
      <c r="E6" s="570">
        <v>1616.47</v>
      </c>
      <c r="F6" s="567">
        <f t="shared" ref="F6:F12" si="0">ROUND(E6*$F$3,0)</f>
        <v>2397063</v>
      </c>
      <c r="G6" s="572"/>
      <c r="H6" s="569" t="s">
        <v>13</v>
      </c>
      <c r="I6" s="569" t="s">
        <v>14</v>
      </c>
      <c r="J6" s="766">
        <v>19528.07</v>
      </c>
      <c r="K6" s="1156">
        <v>2719.68</v>
      </c>
      <c r="L6" s="723">
        <f t="shared" ref="L6:L12" si="1">ROUND(K6*$L$3,0)</f>
        <v>3822782</v>
      </c>
      <c r="M6" s="931">
        <f t="shared" ref="M6:M13" si="2">L6+F6</f>
        <v>6219845</v>
      </c>
      <c r="N6" s="546"/>
      <c r="O6" s="546"/>
      <c r="P6" s="546"/>
      <c r="Q6" s="546"/>
      <c r="R6" s="546"/>
      <c r="S6" s="1117">
        <f t="shared" ref="S6:S13" si="3">F6+L6+R6</f>
        <v>6219845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25096</v>
      </c>
      <c r="E7" s="570">
        <v>3424.11</v>
      </c>
      <c r="F7" s="567">
        <f t="shared" si="0"/>
        <v>5077613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31">
        <f t="shared" si="2"/>
        <v>5077613</v>
      </c>
      <c r="N7" s="546"/>
      <c r="O7" s="546"/>
      <c r="P7" s="546"/>
      <c r="Q7" s="546"/>
      <c r="R7" s="546"/>
      <c r="S7" s="1117">
        <f t="shared" si="3"/>
        <v>5077613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20596</v>
      </c>
      <c r="K8" s="1157">
        <v>2868.4</v>
      </c>
      <c r="L8" s="723">
        <f t="shared" si="1"/>
        <v>4031823</v>
      </c>
      <c r="M8" s="931">
        <f t="shared" si="2"/>
        <v>4031823</v>
      </c>
      <c r="N8" s="546"/>
      <c r="O8" s="546"/>
      <c r="P8" s="546"/>
      <c r="Q8" s="546"/>
      <c r="R8" s="546"/>
      <c r="S8" s="1117">
        <f t="shared" si="3"/>
        <v>4031823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2034.12</v>
      </c>
      <c r="E9" s="570">
        <v>277.54000000000002</v>
      </c>
      <c r="F9" s="567">
        <f t="shared" si="0"/>
        <v>411564</v>
      </c>
      <c r="G9" s="574"/>
      <c r="H9" s="569" t="s">
        <v>19</v>
      </c>
      <c r="I9" s="564" t="s">
        <v>20</v>
      </c>
      <c r="J9" s="767">
        <v>300</v>
      </c>
      <c r="K9" s="1157">
        <v>41.78</v>
      </c>
      <c r="L9" s="723">
        <f t="shared" si="1"/>
        <v>58726</v>
      </c>
      <c r="M9" s="931">
        <f t="shared" si="2"/>
        <v>470290</v>
      </c>
      <c r="N9" s="546"/>
      <c r="O9" s="546"/>
      <c r="P9" s="546"/>
      <c r="Q9" s="546"/>
      <c r="R9" s="546"/>
      <c r="S9" s="1117">
        <f t="shared" si="3"/>
        <v>470290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2938.7499999999995</v>
      </c>
      <c r="E10" s="570">
        <v>400.97</v>
      </c>
      <c r="F10" s="567">
        <f t="shared" si="0"/>
        <v>594598</v>
      </c>
      <c r="G10" s="575"/>
      <c r="H10" s="569" t="s">
        <v>21</v>
      </c>
      <c r="I10" s="569"/>
      <c r="J10" s="766">
        <v>247302.52000000002</v>
      </c>
      <c r="K10" s="1156">
        <v>34492.81</v>
      </c>
      <c r="L10" s="723">
        <f t="shared" si="1"/>
        <v>48483094</v>
      </c>
      <c r="M10" s="931">
        <f t="shared" si="2"/>
        <v>49077692</v>
      </c>
      <c r="N10" s="546"/>
      <c r="O10" s="546"/>
      <c r="P10" s="546"/>
      <c r="Q10" s="546"/>
      <c r="R10" s="546"/>
      <c r="S10" s="1117">
        <f t="shared" si="3"/>
        <v>49077692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1482.899894804103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6150.43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45077.696888358514</v>
      </c>
      <c r="E13" s="1170">
        <f>SUM(E5:E11)-E12</f>
        <v>6150.43</v>
      </c>
      <c r="F13" s="950">
        <f>SUM(F5:F11)-F12</f>
        <v>9120472</v>
      </c>
      <c r="G13" s="588">
        <f>F13+R13+AC13</f>
        <v>9120472</v>
      </c>
      <c r="H13" s="948" t="s">
        <v>22</v>
      </c>
      <c r="I13" s="949"/>
      <c r="J13" s="585">
        <f>SUM(J5:J11)-J12</f>
        <v>301991.67000000004</v>
      </c>
      <c r="K13" s="560">
        <f>SUM(K5:K11)-K12</f>
        <v>42109.369999999995</v>
      </c>
      <c r="L13" s="950">
        <f>SUM(L5:L11)-L12</f>
        <v>59188931</v>
      </c>
      <c r="M13" s="970">
        <f t="shared" si="2"/>
        <v>68309403</v>
      </c>
      <c r="N13" s="546"/>
      <c r="O13" s="924"/>
      <c r="P13" s="924"/>
      <c r="Q13" s="924"/>
      <c r="R13" s="546"/>
      <c r="S13" s="1117">
        <f t="shared" si="3"/>
        <v>68309403</v>
      </c>
      <c r="U13" s="930"/>
      <c r="X13" s="924">
        <f>F13+R13</f>
        <v>9120472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347069.36688835855</v>
      </c>
      <c r="K14" s="1160">
        <f>K13+E13+Q13</f>
        <v>48259.799999999996</v>
      </c>
      <c r="L14" s="985">
        <f>L13+F13+R13</f>
        <v>68309403</v>
      </c>
      <c r="M14" s="945">
        <f>M16-E12</f>
        <v>48259.79635723502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SUBTOTAL(9,K19:K111)</f>
        <v>347069.36999999994</v>
      </c>
      <c r="L16" s="1090"/>
      <c r="M16" s="1161">
        <f>SUBTOTAL(9,M19:M111)</f>
        <v>48259.79635723502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1" t="s">
        <v>29</v>
      </c>
      <c r="I17" s="1531"/>
      <c r="J17" s="1531"/>
      <c r="K17" s="1531" t="s">
        <v>30</v>
      </c>
      <c r="L17" s="1531"/>
      <c r="M17" s="1532"/>
      <c r="N17" s="1533" t="s">
        <v>31</v>
      </c>
      <c r="O17" s="1533"/>
      <c r="P17" s="1534"/>
      <c r="Q17" s="1534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35" t="s">
        <v>32</v>
      </c>
      <c r="Q18" s="1535"/>
      <c r="R18" s="1126" t="s">
        <v>1071</v>
      </c>
    </row>
    <row r="19" spans="1:29" ht="11.25" customHeight="1">
      <c r="B19" s="729">
        <v>45777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45051.060000000907</v>
      </c>
      <c r="O19" s="988">
        <v>6150.4267521577694</v>
      </c>
      <c r="P19" s="989"/>
      <c r="Q19" s="732"/>
      <c r="R19" s="737"/>
      <c r="S19" s="926">
        <v>6150.4252273356087</v>
      </c>
    </row>
    <row r="20" spans="1:29" s="1194" customFormat="1" ht="11.25" customHeight="1">
      <c r="A20" s="1192"/>
      <c r="B20" s="1197">
        <v>45790</v>
      </c>
      <c r="C20" s="1284" t="s">
        <v>823</v>
      </c>
      <c r="D20" s="1198"/>
      <c r="E20" s="1199">
        <v>1</v>
      </c>
      <c r="F20" s="1200"/>
      <c r="G20" s="1200"/>
      <c r="H20" s="1201">
        <v>343685.06</v>
      </c>
      <c r="I20" s="1200"/>
      <c r="J20" s="1201">
        <v>47916</v>
      </c>
      <c r="K20" s="1202"/>
      <c r="L20" s="1203"/>
      <c r="M20" s="1204"/>
      <c r="N20" s="1205">
        <f>N19+H20-K20</f>
        <v>388736.12000000093</v>
      </c>
      <c r="O20" s="1205">
        <f>O19+J20-M20</f>
        <v>54066.426752157771</v>
      </c>
      <c r="P20" s="1206"/>
      <c r="Q20" s="1207"/>
      <c r="R20" s="1207"/>
      <c r="S20" s="1023"/>
      <c r="T20" s="1193"/>
      <c r="V20" s="1193"/>
      <c r="W20" s="1193"/>
      <c r="X20" s="1193"/>
      <c r="Y20" s="1193"/>
      <c r="Z20" s="1193"/>
      <c r="AA20" s="1193"/>
      <c r="AB20" s="1193"/>
      <c r="AC20" s="1193"/>
    </row>
    <row r="21" spans="1:29" s="1194" customFormat="1" ht="11.25" customHeight="1">
      <c r="A21" s="1192"/>
      <c r="B21" s="1239">
        <v>45790</v>
      </c>
      <c r="C21" s="1240" t="s">
        <v>250</v>
      </c>
      <c r="D21" s="1241"/>
      <c r="E21" s="1242"/>
      <c r="F21" s="1243" t="s">
        <v>107</v>
      </c>
      <c r="G21" s="1243"/>
      <c r="H21" s="1244"/>
      <c r="I21" s="1243"/>
      <c r="J21" s="1244"/>
      <c r="K21" s="1245"/>
      <c r="L21" s="1246"/>
      <c r="M21" s="1247">
        <v>51</v>
      </c>
      <c r="N21" s="1248">
        <f t="shared" ref="N21:N84" si="4">N20+H21-K21</f>
        <v>388736.12000000093</v>
      </c>
      <c r="O21" s="1248">
        <f t="shared" ref="O21:O84" si="5">O20+J21-M21</f>
        <v>54015.426752157771</v>
      </c>
      <c r="P21" s="1249"/>
      <c r="Q21" s="1250"/>
      <c r="R21" s="1250"/>
      <c r="S21" s="1023"/>
      <c r="T21" s="1193"/>
      <c r="V21" s="1193"/>
      <c r="W21" s="1193"/>
      <c r="X21" s="1193"/>
      <c r="Y21" s="1193"/>
      <c r="Z21" s="1193"/>
      <c r="AA21" s="1193"/>
      <c r="AB21" s="1193"/>
      <c r="AC21" s="1193"/>
    </row>
    <row r="22" spans="1:29" s="645" customFormat="1" ht="11.25" customHeight="1">
      <c r="A22" s="614"/>
      <c r="B22" s="1220">
        <v>45792</v>
      </c>
      <c r="C22" s="1221" t="s">
        <v>1473</v>
      </c>
      <c r="D22" s="1222"/>
      <c r="E22" s="1223">
        <v>2</v>
      </c>
      <c r="F22" s="1224" t="s">
        <v>105</v>
      </c>
      <c r="G22" s="1224" t="s">
        <v>1131</v>
      </c>
      <c r="H22" s="1225"/>
      <c r="I22" s="1224"/>
      <c r="J22" s="1225"/>
      <c r="K22" s="1226">
        <v>25096</v>
      </c>
      <c r="L22" s="1227">
        <f>'통장내역(환율표)'!$D$271</f>
        <v>7.329200050755901</v>
      </c>
      <c r="M22" s="1228">
        <f t="shared" ref="M22:M27" si="6">K22/L22</f>
        <v>3424.1117483771932</v>
      </c>
      <c r="N22" s="1229">
        <f t="shared" si="4"/>
        <v>363640.12000000093</v>
      </c>
      <c r="O22" s="1229">
        <f t="shared" si="5"/>
        <v>50591.315003780575</v>
      </c>
      <c r="P22" s="1230" t="s">
        <v>1471</v>
      </c>
      <c r="Q22" s="1231"/>
      <c r="R22" s="1231"/>
      <c r="S22" s="963">
        <f>S19-M22+J22</f>
        <v>2726.3134789584155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1.25" customHeight="1">
      <c r="A23" s="614"/>
      <c r="B23" s="1136">
        <v>45792</v>
      </c>
      <c r="C23" s="997" t="s">
        <v>250</v>
      </c>
      <c r="D23" s="1003"/>
      <c r="E23" s="998">
        <v>3</v>
      </c>
      <c r="F23" s="1067" t="s">
        <v>107</v>
      </c>
      <c r="G23" s="1067"/>
      <c r="H23" s="1048"/>
      <c r="I23" s="1067"/>
      <c r="J23" s="1048"/>
      <c r="K23" s="1195">
        <v>7.2</v>
      </c>
      <c r="L23" s="612">
        <f>'통장내역(환율표)'!$D$271</f>
        <v>7.329200050755901</v>
      </c>
      <c r="M23" s="1177">
        <f t="shared" si="6"/>
        <v>0.98237187553059413</v>
      </c>
      <c r="N23" s="1009">
        <f t="shared" si="4"/>
        <v>363632.92000000092</v>
      </c>
      <c r="O23" s="1009">
        <f t="shared" si="5"/>
        <v>50590.332631905047</v>
      </c>
      <c r="P23" s="992" t="s">
        <v>1471</v>
      </c>
      <c r="Q23" s="713"/>
      <c r="R23" s="713"/>
      <c r="S23" s="963">
        <f>S22-M23+J23</f>
        <v>2725.331107082885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45792</v>
      </c>
      <c r="C24" s="1045" t="s">
        <v>1291</v>
      </c>
      <c r="D24" s="1003"/>
      <c r="E24" s="998">
        <v>4</v>
      </c>
      <c r="F24" s="1067" t="s">
        <v>146</v>
      </c>
      <c r="G24" s="1067" t="s">
        <v>147</v>
      </c>
      <c r="H24" s="1048"/>
      <c r="I24" s="1049"/>
      <c r="J24" s="1048"/>
      <c r="K24" s="1000">
        <v>1600</v>
      </c>
      <c r="L24" s="612">
        <f>'통장내역(환율표)'!$D$271</f>
        <v>7.329200050755901</v>
      </c>
      <c r="M24" s="1177">
        <f t="shared" si="6"/>
        <v>218.3048612290209</v>
      </c>
      <c r="N24" s="1009">
        <f t="shared" si="4"/>
        <v>362032.92000000092</v>
      </c>
      <c r="O24" s="1009">
        <f t="shared" si="5"/>
        <v>50372.027770676024</v>
      </c>
      <c r="P24" s="992" t="s">
        <v>1471</v>
      </c>
      <c r="Q24" s="713"/>
      <c r="R24" s="713"/>
      <c r="S24" s="963">
        <f t="shared" ref="S24:S34" si="7">S23-M24+J24</f>
        <v>2507.0262458538641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45792</v>
      </c>
      <c r="C25" s="997" t="s">
        <v>250</v>
      </c>
      <c r="D25" s="1003"/>
      <c r="E25" s="998">
        <v>5</v>
      </c>
      <c r="F25" s="1067" t="s">
        <v>107</v>
      </c>
      <c r="G25" s="1067"/>
      <c r="H25" s="1048"/>
      <c r="I25" s="1049"/>
      <c r="J25" s="1048"/>
      <c r="K25" s="1000">
        <v>3.6</v>
      </c>
      <c r="L25" s="612">
        <f>'통장내역(환율표)'!$D$271</f>
        <v>7.329200050755901</v>
      </c>
      <c r="M25" s="1177">
        <f t="shared" si="6"/>
        <v>0.49118593776529706</v>
      </c>
      <c r="N25" s="1009">
        <f t="shared" si="4"/>
        <v>362029.32000000094</v>
      </c>
      <c r="O25" s="1009">
        <f t="shared" si="5"/>
        <v>50371.536584738256</v>
      </c>
      <c r="P25" s="992" t="s">
        <v>1471</v>
      </c>
      <c r="Q25" s="713"/>
      <c r="R25" s="713"/>
      <c r="S25" s="963">
        <f t="shared" si="7"/>
        <v>2506.5350599160988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1136">
        <v>45796</v>
      </c>
      <c r="C26" s="997" t="s">
        <v>306</v>
      </c>
      <c r="D26" s="1003"/>
      <c r="E26" s="998">
        <v>6</v>
      </c>
      <c r="F26" s="1067" t="s">
        <v>107</v>
      </c>
      <c r="G26" s="1067"/>
      <c r="H26" s="1048"/>
      <c r="I26" s="1049"/>
      <c r="J26" s="1048"/>
      <c r="K26" s="1000">
        <v>1010</v>
      </c>
      <c r="L26" s="612">
        <f>'통장내역(환율표)'!$D$271</f>
        <v>7.329200050755901</v>
      </c>
      <c r="M26" s="1177">
        <f t="shared" si="6"/>
        <v>137.80494365081944</v>
      </c>
      <c r="N26" s="1009">
        <f t="shared" si="4"/>
        <v>361019.32000000094</v>
      </c>
      <c r="O26" s="1009">
        <f t="shared" si="5"/>
        <v>50233.731641087434</v>
      </c>
      <c r="P26" s="992" t="s">
        <v>1471</v>
      </c>
      <c r="Q26" s="713"/>
      <c r="R26" s="713"/>
      <c r="S26" s="963">
        <f t="shared" si="7"/>
        <v>2368.7301162652793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1136">
        <v>45796</v>
      </c>
      <c r="C27" s="997" t="s">
        <v>250</v>
      </c>
      <c r="D27" s="1003"/>
      <c r="E27" s="998">
        <v>7</v>
      </c>
      <c r="F27" s="1067" t="s">
        <v>107</v>
      </c>
      <c r="G27" s="1067"/>
      <c r="H27" s="1048"/>
      <c r="I27" s="1049"/>
      <c r="J27" s="1048"/>
      <c r="K27" s="1000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361015.72000000096</v>
      </c>
      <c r="O27" s="1009">
        <f t="shared" si="5"/>
        <v>50233.240455149666</v>
      </c>
      <c r="P27" s="992" t="s">
        <v>1471</v>
      </c>
      <c r="Q27" s="713"/>
      <c r="R27" s="713"/>
      <c r="S27" s="963">
        <f t="shared" si="7"/>
        <v>2368.238930327514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1136">
        <v>45796</v>
      </c>
      <c r="C28" s="1045" t="s">
        <v>1414</v>
      </c>
      <c r="D28" s="1003" t="s">
        <v>1452</v>
      </c>
      <c r="E28" s="998">
        <v>8</v>
      </c>
      <c r="F28" s="1067" t="s">
        <v>116</v>
      </c>
      <c r="G28" s="1067" t="s">
        <v>140</v>
      </c>
      <c r="H28" s="1067"/>
      <c r="I28" s="1067"/>
      <c r="J28" s="1067"/>
      <c r="K28" s="1138">
        <v>1018.2</v>
      </c>
      <c r="L28" s="612">
        <f>'통장내역(환율표)'!$D$271</f>
        <v>7.329200050755901</v>
      </c>
      <c r="M28" s="1177">
        <f t="shared" ref="M28:M33" si="8">K28/L28</f>
        <v>138.9237560646182</v>
      </c>
      <c r="N28" s="1009">
        <f t="shared" si="4"/>
        <v>359997.52000000095</v>
      </c>
      <c r="O28" s="1009">
        <f t="shared" si="5"/>
        <v>50094.316699085044</v>
      </c>
      <c r="P28" s="992" t="s">
        <v>1471</v>
      </c>
      <c r="Q28" s="713"/>
      <c r="R28" s="713"/>
      <c r="S28" s="963">
        <f t="shared" si="7"/>
        <v>2229.3151742628957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1136">
        <v>45796</v>
      </c>
      <c r="C29" s="1045" t="s">
        <v>564</v>
      </c>
      <c r="D29" s="1003" t="s">
        <v>1452</v>
      </c>
      <c r="E29" s="998">
        <v>9</v>
      </c>
      <c r="F29" s="1067" t="s">
        <v>107</v>
      </c>
      <c r="G29" s="1067"/>
      <c r="H29" s="1067"/>
      <c r="I29" s="1067"/>
      <c r="J29" s="1067"/>
      <c r="K29" s="1138">
        <v>676</v>
      </c>
      <c r="L29" s="612">
        <f>'통장내역(환율표)'!$D$271</f>
        <v>7.329200050755901</v>
      </c>
      <c r="M29" s="1177">
        <f t="shared" si="8"/>
        <v>92.233803869261337</v>
      </c>
      <c r="N29" s="1009">
        <f t="shared" si="4"/>
        <v>359321.52000000095</v>
      </c>
      <c r="O29" s="1009">
        <f t="shared" si="5"/>
        <v>50002.082895215783</v>
      </c>
      <c r="P29" s="992" t="s">
        <v>1471</v>
      </c>
      <c r="Q29" s="713"/>
      <c r="R29" s="1183"/>
      <c r="S29" s="963">
        <f t="shared" si="7"/>
        <v>2137.0813703936342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1136">
        <v>45796</v>
      </c>
      <c r="C30" s="997" t="s">
        <v>865</v>
      </c>
      <c r="D30" s="1003" t="s">
        <v>1452</v>
      </c>
      <c r="E30" s="998">
        <v>10</v>
      </c>
      <c r="F30" s="1067" t="s">
        <v>107</v>
      </c>
      <c r="G30" s="1067"/>
      <c r="H30" s="1067"/>
      <c r="I30" s="1067"/>
      <c r="J30" s="1067"/>
      <c r="K30" s="999">
        <v>3.6</v>
      </c>
      <c r="L30" s="612">
        <f>'통장내역(환율표)'!$D$271</f>
        <v>7.329200050755901</v>
      </c>
      <c r="M30" s="1177">
        <f t="shared" si="8"/>
        <v>0.49118593776529706</v>
      </c>
      <c r="N30" s="1009">
        <f t="shared" si="4"/>
        <v>359317.92000000097</v>
      </c>
      <c r="O30" s="1009">
        <f t="shared" si="5"/>
        <v>50001.591709278015</v>
      </c>
      <c r="P30" s="992" t="s">
        <v>1471</v>
      </c>
      <c r="Q30" s="713"/>
      <c r="R30" s="1183"/>
      <c r="S30" s="963">
        <f t="shared" si="7"/>
        <v>2136.5901844558689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1136">
        <v>45796</v>
      </c>
      <c r="C31" s="1045" t="s">
        <v>1477</v>
      </c>
      <c r="D31" s="1003" t="s">
        <v>1415</v>
      </c>
      <c r="E31" s="1133">
        <v>11</v>
      </c>
      <c r="F31" s="1067" t="s">
        <v>146</v>
      </c>
      <c r="G31" s="640" t="s">
        <v>147</v>
      </c>
      <c r="H31" s="1067"/>
      <c r="I31" s="1067"/>
      <c r="J31" s="1067"/>
      <c r="K31" s="1138">
        <v>419.4</v>
      </c>
      <c r="L31" s="612">
        <f>'통장내역(환율표)'!$D$271</f>
        <v>7.329200050755901</v>
      </c>
      <c r="M31" s="1177">
        <f t="shared" si="8"/>
        <v>57.223161749657102</v>
      </c>
      <c r="N31" s="1009">
        <f t="shared" si="4"/>
        <v>358898.52000000095</v>
      </c>
      <c r="O31" s="1009">
        <f t="shared" si="5"/>
        <v>49944.368547528356</v>
      </c>
      <c r="P31" s="992" t="s">
        <v>1471</v>
      </c>
      <c r="Q31" s="713"/>
      <c r="R31" s="1183"/>
      <c r="S31" s="963">
        <f t="shared" si="7"/>
        <v>2079.3670227062116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1136">
        <v>45796</v>
      </c>
      <c r="C32" s="997" t="s">
        <v>1429</v>
      </c>
      <c r="D32" s="1003" t="s">
        <v>1415</v>
      </c>
      <c r="E32" s="998">
        <v>12</v>
      </c>
      <c r="F32" s="1067" t="s">
        <v>146</v>
      </c>
      <c r="G32" s="1067" t="s">
        <v>147</v>
      </c>
      <c r="H32" s="1067"/>
      <c r="I32" s="1067"/>
      <c r="J32" s="1067"/>
      <c r="K32" s="999">
        <v>628</v>
      </c>
      <c r="L32" s="612">
        <f>'통장내역(환율표)'!$D$271</f>
        <v>7.329200050755901</v>
      </c>
      <c r="M32" s="1177">
        <f t="shared" si="8"/>
        <v>85.684658032390715</v>
      </c>
      <c r="N32" s="1009">
        <f t="shared" si="4"/>
        <v>358270.52000000095</v>
      </c>
      <c r="O32" s="1009">
        <f t="shared" si="5"/>
        <v>49858.683889495966</v>
      </c>
      <c r="P32" s="992" t="s">
        <v>1471</v>
      </c>
      <c r="Q32" s="713"/>
      <c r="R32" s="1183"/>
      <c r="S32" s="963">
        <f t="shared" si="7"/>
        <v>1993.682364673821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1136">
        <v>45796</v>
      </c>
      <c r="C33" s="1045" t="s">
        <v>19</v>
      </c>
      <c r="D33" s="1003" t="s">
        <v>1415</v>
      </c>
      <c r="E33" s="998">
        <v>13</v>
      </c>
      <c r="F33" s="1067" t="s">
        <v>116</v>
      </c>
      <c r="G33" s="1067" t="s">
        <v>140</v>
      </c>
      <c r="H33" s="1067"/>
      <c r="I33" s="1067"/>
      <c r="J33" s="1067"/>
      <c r="K33" s="999">
        <v>123.8</v>
      </c>
      <c r="L33" s="612">
        <f>'통장내역(환율표)'!$D$271</f>
        <v>7.329200050755901</v>
      </c>
      <c r="M33" s="1177">
        <f t="shared" si="8"/>
        <v>16.891338637595492</v>
      </c>
      <c r="N33" s="1009">
        <f t="shared" si="4"/>
        <v>358146.72000000096</v>
      </c>
      <c r="O33" s="1009">
        <f t="shared" si="5"/>
        <v>49841.792550858372</v>
      </c>
      <c r="P33" s="992" t="s">
        <v>1471</v>
      </c>
      <c r="Q33" s="713"/>
      <c r="R33" s="1183"/>
      <c r="S33" s="963">
        <f t="shared" si="7"/>
        <v>1976.7910260362255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1136">
        <v>45796</v>
      </c>
      <c r="C34" s="997" t="s">
        <v>1476</v>
      </c>
      <c r="D34" s="1003" t="s">
        <v>1415</v>
      </c>
      <c r="E34" s="998">
        <v>14</v>
      </c>
      <c r="F34" s="1067" t="s">
        <v>125</v>
      </c>
      <c r="G34" s="1067" t="s">
        <v>145</v>
      </c>
      <c r="H34" s="1067"/>
      <c r="I34" s="1067"/>
      <c r="J34" s="1067"/>
      <c r="K34" s="999">
        <v>318.39999999999998</v>
      </c>
      <c r="L34" s="612">
        <f>'통장내역(환율표)'!$D$271</f>
        <v>7.329200050755901</v>
      </c>
      <c r="M34" s="1177">
        <f t="shared" ref="M34:M42" si="9">K34/L34</f>
        <v>43.442667384575159</v>
      </c>
      <c r="N34" s="1009">
        <f t="shared" si="4"/>
        <v>357828.32000000094</v>
      </c>
      <c r="O34" s="1009">
        <f t="shared" si="5"/>
        <v>49798.349883473798</v>
      </c>
      <c r="P34" s="992" t="s">
        <v>1471</v>
      </c>
      <c r="Q34" s="713"/>
      <c r="R34" s="1183"/>
      <c r="S34" s="963">
        <f t="shared" si="7"/>
        <v>1933.3483586516504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45796</v>
      </c>
      <c r="C35" s="997" t="s">
        <v>865</v>
      </c>
      <c r="D35" s="1003" t="s">
        <v>1415</v>
      </c>
      <c r="E35" s="1003">
        <v>15</v>
      </c>
      <c r="F35" s="1133" t="s">
        <v>107</v>
      </c>
      <c r="G35" s="640"/>
      <c r="H35" s="1004"/>
      <c r="I35" s="1069"/>
      <c r="J35" s="1069"/>
      <c r="K35" s="999">
        <v>3.6</v>
      </c>
      <c r="L35" s="612">
        <f>'통장내역(환율표)'!$D$271</f>
        <v>7.329200050755901</v>
      </c>
      <c r="M35" s="1177">
        <f t="shared" si="9"/>
        <v>0.49118593776529706</v>
      </c>
      <c r="N35" s="1009">
        <f t="shared" si="4"/>
        <v>357824.72000000096</v>
      </c>
      <c r="O35" s="1009">
        <f t="shared" si="5"/>
        <v>49797.85869753603</v>
      </c>
      <c r="P35" s="992" t="s">
        <v>1471</v>
      </c>
      <c r="Q35" s="713"/>
      <c r="R35" s="1183"/>
      <c r="S35" s="963">
        <f t="shared" ref="S35:S52" si="10">S34-M35+J35</f>
        <v>1932.8571727138851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45796</v>
      </c>
      <c r="C36" s="997" t="s">
        <v>1477</v>
      </c>
      <c r="D36" s="1003" t="s">
        <v>1416</v>
      </c>
      <c r="E36" s="1133">
        <v>16</v>
      </c>
      <c r="F36" s="1067" t="s">
        <v>146</v>
      </c>
      <c r="G36" s="640" t="s">
        <v>147</v>
      </c>
      <c r="H36" s="1004"/>
      <c r="I36" s="1069"/>
      <c r="J36" s="1069"/>
      <c r="K36" s="1191">
        <v>536.62</v>
      </c>
      <c r="L36" s="612">
        <f>'통장내역(환율표)'!$D$271</f>
        <v>7.329200050755901</v>
      </c>
      <c r="M36" s="1177">
        <f t="shared" si="9"/>
        <v>73.216721645448246</v>
      </c>
      <c r="N36" s="1009">
        <f t="shared" si="4"/>
        <v>357288.10000000097</v>
      </c>
      <c r="O36" s="1009">
        <f t="shared" si="5"/>
        <v>49724.641975890583</v>
      </c>
      <c r="P36" s="992" t="s">
        <v>1471</v>
      </c>
      <c r="Q36" s="713"/>
      <c r="R36" s="1183"/>
      <c r="S36" s="963">
        <f t="shared" si="10"/>
        <v>1859.640451068437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45796</v>
      </c>
      <c r="C37" s="997" t="s">
        <v>1429</v>
      </c>
      <c r="D37" s="1003" t="s">
        <v>1416</v>
      </c>
      <c r="E37" s="1003">
        <v>17</v>
      </c>
      <c r="F37" s="1067" t="s">
        <v>146</v>
      </c>
      <c r="G37" s="640" t="s">
        <v>147</v>
      </c>
      <c r="H37" s="1004"/>
      <c r="I37" s="1069"/>
      <c r="J37" s="1069"/>
      <c r="K37" s="999">
        <v>5617.81</v>
      </c>
      <c r="L37" s="612">
        <f>'통장내역(환율표)'!$D$271</f>
        <v>7.329200050755901</v>
      </c>
      <c r="M37" s="1177">
        <f t="shared" si="9"/>
        <v>766.49702028812874</v>
      </c>
      <c r="N37" s="1009">
        <f t="shared" si="4"/>
        <v>351670.29000000097</v>
      </c>
      <c r="O37" s="1009">
        <f t="shared" si="5"/>
        <v>48958.144955602453</v>
      </c>
      <c r="P37" s="992" t="s">
        <v>1471</v>
      </c>
      <c r="Q37" s="713"/>
      <c r="R37" s="1183"/>
      <c r="S37" s="963">
        <f t="shared" si="10"/>
        <v>1093.1434307803083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45796</v>
      </c>
      <c r="C38" s="997" t="s">
        <v>19</v>
      </c>
      <c r="D38" s="1003" t="s">
        <v>1416</v>
      </c>
      <c r="E38" s="1003">
        <v>18</v>
      </c>
      <c r="F38" s="1067" t="s">
        <v>116</v>
      </c>
      <c r="G38" s="640" t="s">
        <v>140</v>
      </c>
      <c r="H38" s="1004"/>
      <c r="I38" s="1069"/>
      <c r="J38" s="1069"/>
      <c r="K38" s="999">
        <v>400</v>
      </c>
      <c r="L38" s="612">
        <f>'통장내역(환율표)'!$D$271</f>
        <v>7.329200050755901</v>
      </c>
      <c r="M38" s="1177">
        <f t="shared" si="9"/>
        <v>54.576215307255225</v>
      </c>
      <c r="N38" s="1009">
        <f t="shared" si="4"/>
        <v>351270.29000000097</v>
      </c>
      <c r="O38" s="1009">
        <f t="shared" si="5"/>
        <v>48903.568740295195</v>
      </c>
      <c r="P38" s="992" t="s">
        <v>1471</v>
      </c>
      <c r="Q38" s="713"/>
      <c r="R38" s="1183"/>
      <c r="S38" s="963">
        <f t="shared" si="10"/>
        <v>1038.567215473053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45796</v>
      </c>
      <c r="C39" s="997" t="s">
        <v>11</v>
      </c>
      <c r="D39" s="1003" t="s">
        <v>1416</v>
      </c>
      <c r="E39" s="1003">
        <v>19</v>
      </c>
      <c r="F39" s="1067" t="s">
        <v>125</v>
      </c>
      <c r="G39" s="640" t="s">
        <v>145</v>
      </c>
      <c r="H39" s="1004"/>
      <c r="I39" s="1069"/>
      <c r="J39" s="1069"/>
      <c r="K39" s="999">
        <v>361</v>
      </c>
      <c r="L39" s="612">
        <f>'통장내역(환율표)'!$D$271</f>
        <v>7.329200050755901</v>
      </c>
      <c r="M39" s="1177">
        <f t="shared" si="9"/>
        <v>49.255034314797847</v>
      </c>
      <c r="N39" s="1009">
        <f t="shared" si="4"/>
        <v>350909.29000000097</v>
      </c>
      <c r="O39" s="1009">
        <f t="shared" si="5"/>
        <v>48854.313705980399</v>
      </c>
      <c r="P39" s="992" t="s">
        <v>1471</v>
      </c>
      <c r="Q39" s="713"/>
      <c r="R39" s="1183"/>
      <c r="S39" s="963">
        <f t="shared" si="10"/>
        <v>989.31218115825516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45796</v>
      </c>
      <c r="C40" s="997" t="s">
        <v>1431</v>
      </c>
      <c r="D40" s="1003" t="s">
        <v>1416</v>
      </c>
      <c r="E40" s="1003">
        <v>20</v>
      </c>
      <c r="F40" s="1067" t="s">
        <v>107</v>
      </c>
      <c r="G40" s="640"/>
      <c r="H40" s="1004"/>
      <c r="I40" s="1069"/>
      <c r="J40" s="1069"/>
      <c r="K40" s="999">
        <v>276.60000000000002</v>
      </c>
      <c r="L40" s="612">
        <f>'통장내역(환율표)'!$D$271</f>
        <v>7.329200050755901</v>
      </c>
      <c r="M40" s="1177">
        <f t="shared" si="9"/>
        <v>37.739452884966994</v>
      </c>
      <c r="N40" s="1009">
        <f t="shared" si="4"/>
        <v>350632.69000000099</v>
      </c>
      <c r="O40" s="1009">
        <f t="shared" si="5"/>
        <v>48816.57425309543</v>
      </c>
      <c r="P40" s="992" t="s">
        <v>1471</v>
      </c>
      <c r="Q40" s="713"/>
      <c r="R40" s="1183"/>
      <c r="S40" s="963">
        <f t="shared" si="10"/>
        <v>951.57272827328813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45796</v>
      </c>
      <c r="C41" s="997" t="s">
        <v>1412</v>
      </c>
      <c r="D41" s="1003" t="s">
        <v>1416</v>
      </c>
      <c r="E41" s="1003">
        <v>21</v>
      </c>
      <c r="F41" s="1067" t="s">
        <v>107</v>
      </c>
      <c r="G41" s="640"/>
      <c r="H41" s="1004"/>
      <c r="I41" s="1069"/>
      <c r="J41" s="1069"/>
      <c r="K41" s="999">
        <v>517</v>
      </c>
      <c r="L41" s="612">
        <f>'통장내역(환율표)'!$D$271</f>
        <v>7.329200050755901</v>
      </c>
      <c r="M41" s="1177">
        <f t="shared" si="9"/>
        <v>70.539758284627382</v>
      </c>
      <c r="N41" s="1009">
        <f t="shared" si="4"/>
        <v>350115.69000000099</v>
      </c>
      <c r="O41" s="1009">
        <f t="shared" si="5"/>
        <v>48746.034494810803</v>
      </c>
      <c r="P41" s="992" t="s">
        <v>1471</v>
      </c>
      <c r="Q41" s="713"/>
      <c r="R41" s="1183"/>
      <c r="S41" s="963">
        <f t="shared" si="10"/>
        <v>881.03296998866074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45796</v>
      </c>
      <c r="C42" s="997" t="s">
        <v>865</v>
      </c>
      <c r="D42" s="1003" t="s">
        <v>1416</v>
      </c>
      <c r="E42" s="998">
        <v>22</v>
      </c>
      <c r="F42" s="1067" t="s">
        <v>107</v>
      </c>
      <c r="G42" s="1067"/>
      <c r="H42" s="1067"/>
      <c r="I42" s="1067"/>
      <c r="J42" s="1067"/>
      <c r="K42" s="1196">
        <v>3.6</v>
      </c>
      <c r="L42" s="612">
        <f>'통장내역(환율표)'!$D$271</f>
        <v>7.329200050755901</v>
      </c>
      <c r="M42" s="1177">
        <f t="shared" si="9"/>
        <v>0.49118593776529706</v>
      </c>
      <c r="N42" s="1009">
        <f t="shared" si="4"/>
        <v>350112.09000000102</v>
      </c>
      <c r="O42" s="1009">
        <f t="shared" si="5"/>
        <v>48745.543308873035</v>
      </c>
      <c r="P42" s="992" t="s">
        <v>1471</v>
      </c>
      <c r="Q42" s="713"/>
      <c r="R42" s="1184"/>
      <c r="S42" s="963">
        <f t="shared" si="10"/>
        <v>880.54178405089544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45796</v>
      </c>
      <c r="C43" s="997" t="s">
        <v>1478</v>
      </c>
      <c r="D43" s="994" t="s">
        <v>1417</v>
      </c>
      <c r="E43" s="1067">
        <v>23</v>
      </c>
      <c r="F43" s="1067" t="s">
        <v>146</v>
      </c>
      <c r="G43" s="1067" t="s">
        <v>147</v>
      </c>
      <c r="H43" s="1067"/>
      <c r="I43" s="1067"/>
      <c r="J43" s="1067"/>
      <c r="K43" s="1138">
        <v>589.1</v>
      </c>
      <c r="L43" s="612">
        <f>'통장내역(환율표)'!$D$271</f>
        <v>7.329200050755901</v>
      </c>
      <c r="M43" s="1177">
        <f>K43/L43</f>
        <v>80.377121093760138</v>
      </c>
      <c r="N43" s="1009">
        <f t="shared" si="4"/>
        <v>349522.99000000104</v>
      </c>
      <c r="O43" s="1009">
        <f t="shared" si="5"/>
        <v>48665.166187779272</v>
      </c>
      <c r="P43" s="992" t="s">
        <v>1471</v>
      </c>
      <c r="Q43" s="713"/>
      <c r="R43" s="1184"/>
      <c r="S43" s="963">
        <f t="shared" si="10"/>
        <v>800.16466295713531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45796</v>
      </c>
      <c r="C44" s="997" t="s">
        <v>19</v>
      </c>
      <c r="D44" s="994" t="s">
        <v>1417</v>
      </c>
      <c r="E44" s="1003">
        <v>24</v>
      </c>
      <c r="F44" s="1067" t="s">
        <v>116</v>
      </c>
      <c r="G44" s="640" t="s">
        <v>140</v>
      </c>
      <c r="H44" s="1067"/>
      <c r="I44" s="1067"/>
      <c r="J44" s="1067"/>
      <c r="K44" s="999">
        <v>299.60000000000002</v>
      </c>
      <c r="L44" s="612">
        <f>'통장내역(환율표)'!$D$271</f>
        <v>7.329200050755901</v>
      </c>
      <c r="M44" s="1177">
        <f>K44/L44</f>
        <v>40.877585265134172</v>
      </c>
      <c r="N44" s="1009">
        <f t="shared" si="4"/>
        <v>349223.39000000106</v>
      </c>
      <c r="O44" s="1009">
        <f t="shared" si="5"/>
        <v>48624.288602514142</v>
      </c>
      <c r="P44" s="992" t="s">
        <v>1471</v>
      </c>
      <c r="Q44" s="713"/>
      <c r="R44" s="1045"/>
      <c r="S44" s="963">
        <f t="shared" si="10"/>
        <v>759.28707769200116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45796</v>
      </c>
      <c r="C45" s="997" t="s">
        <v>1429</v>
      </c>
      <c r="D45" s="994" t="s">
        <v>1417</v>
      </c>
      <c r="E45" s="1003">
        <v>25</v>
      </c>
      <c r="F45" s="1067" t="s">
        <v>146</v>
      </c>
      <c r="G45" s="640" t="s">
        <v>147</v>
      </c>
      <c r="H45" s="1067"/>
      <c r="I45" s="1067"/>
      <c r="J45" s="1067"/>
      <c r="K45" s="999">
        <v>1259</v>
      </c>
      <c r="L45" s="612">
        <f>'통장내역(환율표)'!$D$271</f>
        <v>7.329200050755901</v>
      </c>
      <c r="M45" s="1177">
        <f>K45/L45</f>
        <v>171.77863767958584</v>
      </c>
      <c r="N45" s="1009">
        <f t="shared" si="4"/>
        <v>347964.39000000106</v>
      </c>
      <c r="O45" s="1009">
        <f t="shared" si="5"/>
        <v>48452.509964834557</v>
      </c>
      <c r="P45" s="992" t="s">
        <v>1471</v>
      </c>
      <c r="Q45" s="713"/>
      <c r="R45" s="1045"/>
      <c r="S45" s="963">
        <f t="shared" si="10"/>
        <v>587.50844001241535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45796</v>
      </c>
      <c r="C46" s="997" t="s">
        <v>11</v>
      </c>
      <c r="D46" s="994" t="s">
        <v>1417</v>
      </c>
      <c r="E46" s="1003">
        <v>26</v>
      </c>
      <c r="F46" s="1067" t="s">
        <v>125</v>
      </c>
      <c r="G46" s="1067" t="s">
        <v>145</v>
      </c>
      <c r="H46" s="1067"/>
      <c r="I46" s="1067"/>
      <c r="J46" s="1067"/>
      <c r="K46" s="999">
        <v>2482</v>
      </c>
      <c r="L46" s="612">
        <f>'통장내역(환율표)'!$D$271</f>
        <v>7.329200050755901</v>
      </c>
      <c r="M46" s="1177">
        <f>K46/L46</f>
        <v>338.64541598151868</v>
      </c>
      <c r="N46" s="1009">
        <f t="shared" si="4"/>
        <v>345482.39000000106</v>
      </c>
      <c r="O46" s="1009">
        <f t="shared" si="5"/>
        <v>48113.864548853038</v>
      </c>
      <c r="P46" s="992" t="s">
        <v>1471</v>
      </c>
      <c r="Q46" s="713"/>
      <c r="R46" s="1045"/>
      <c r="S46" s="963">
        <f t="shared" si="10"/>
        <v>248.86302403089667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45796</v>
      </c>
      <c r="C47" s="997" t="s">
        <v>865</v>
      </c>
      <c r="D47" s="994" t="s">
        <v>1417</v>
      </c>
      <c r="E47" s="1003">
        <v>27</v>
      </c>
      <c r="F47" s="1067" t="s">
        <v>107</v>
      </c>
      <c r="G47" s="1067"/>
      <c r="H47" s="1067"/>
      <c r="I47" s="1067"/>
      <c r="J47" s="1067"/>
      <c r="K47" s="999">
        <v>3.6</v>
      </c>
      <c r="L47" s="612">
        <f>'통장내역(환율표)'!$D$271</f>
        <v>7.329200050755901</v>
      </c>
      <c r="M47" s="1177">
        <f t="shared" ref="M47:M108" si="11">K47/L47</f>
        <v>0.49118593776529706</v>
      </c>
      <c r="N47" s="1009">
        <f t="shared" si="4"/>
        <v>345478.79000000108</v>
      </c>
      <c r="O47" s="1009">
        <f t="shared" si="5"/>
        <v>48113.37336291527</v>
      </c>
      <c r="P47" s="992" t="s">
        <v>1471</v>
      </c>
      <c r="Q47" s="713"/>
      <c r="R47" s="1045"/>
      <c r="S47" s="963">
        <f t="shared" si="10"/>
        <v>248.37183809313137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45796</v>
      </c>
      <c r="C48" s="997" t="s">
        <v>1430</v>
      </c>
      <c r="D48" s="994" t="s">
        <v>1420</v>
      </c>
      <c r="E48" s="1003">
        <v>28</v>
      </c>
      <c r="F48" s="1067" t="s">
        <v>146</v>
      </c>
      <c r="G48" s="1067" t="s">
        <v>147</v>
      </c>
      <c r="H48" s="1067"/>
      <c r="I48" s="1067"/>
      <c r="J48" s="1067"/>
      <c r="K48" s="999">
        <v>313.58999999999997</v>
      </c>
      <c r="L48" s="612">
        <f>'통장내역(환율표)'!$D$271</f>
        <v>7.329200050755901</v>
      </c>
      <c r="M48" s="1177">
        <f t="shared" si="11"/>
        <v>42.786388395505412</v>
      </c>
      <c r="N48" s="1009">
        <f t="shared" si="4"/>
        <v>345165.20000000106</v>
      </c>
      <c r="O48" s="1009">
        <f t="shared" si="5"/>
        <v>48070.586974519763</v>
      </c>
      <c r="P48" s="992" t="s">
        <v>1471</v>
      </c>
      <c r="Q48" s="713"/>
      <c r="R48" s="1045"/>
      <c r="S48" s="963">
        <f t="shared" si="10"/>
        <v>205.58544969762596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45796</v>
      </c>
      <c r="C49" s="994" t="s">
        <v>1429</v>
      </c>
      <c r="D49" s="994" t="s">
        <v>1420</v>
      </c>
      <c r="E49" s="1003">
        <v>29</v>
      </c>
      <c r="F49" s="1133" t="s">
        <v>146</v>
      </c>
      <c r="G49" s="640" t="s">
        <v>147</v>
      </c>
      <c r="H49" s="1067"/>
      <c r="I49" s="1067"/>
      <c r="J49" s="1067"/>
      <c r="K49" s="999">
        <v>688.3</v>
      </c>
      <c r="L49" s="612">
        <f>'통장내역(환율표)'!$D$271</f>
        <v>7.329200050755901</v>
      </c>
      <c r="M49" s="1177">
        <f t="shared" si="11"/>
        <v>93.912022489959426</v>
      </c>
      <c r="N49" s="1009">
        <f t="shared" si="4"/>
        <v>344476.90000000107</v>
      </c>
      <c r="O49" s="1009">
        <f t="shared" si="5"/>
        <v>47976.674952029804</v>
      </c>
      <c r="P49" s="992" t="s">
        <v>1471</v>
      </c>
      <c r="Q49" s="713"/>
      <c r="R49" s="1184"/>
      <c r="S49" s="963">
        <f t="shared" si="10"/>
        <v>111.67342720766653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45796</v>
      </c>
      <c r="C50" s="1045" t="s">
        <v>19</v>
      </c>
      <c r="D50" s="994" t="s">
        <v>1420</v>
      </c>
      <c r="E50" s="1003">
        <v>30</v>
      </c>
      <c r="F50" s="1133" t="s">
        <v>116</v>
      </c>
      <c r="G50" s="640" t="s">
        <v>140</v>
      </c>
      <c r="H50" s="1067"/>
      <c r="I50" s="1067"/>
      <c r="J50" s="1067"/>
      <c r="K50" s="999">
        <v>192.52</v>
      </c>
      <c r="L50" s="612">
        <f>'통장내역(환율표)'!$D$271</f>
        <v>7.329200050755901</v>
      </c>
      <c r="M50" s="1177">
        <f t="shared" si="11"/>
        <v>26.267532427381944</v>
      </c>
      <c r="N50" s="1009">
        <f t="shared" si="4"/>
        <v>344284.38000000105</v>
      </c>
      <c r="O50" s="1009">
        <f t="shared" si="5"/>
        <v>47950.407419602423</v>
      </c>
      <c r="P50" s="992" t="s">
        <v>1471</v>
      </c>
      <c r="Q50" s="713"/>
      <c r="R50" s="1184"/>
      <c r="S50" s="963">
        <f t="shared" si="10"/>
        <v>85.405894780284598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45796</v>
      </c>
      <c r="C51" s="1045" t="s">
        <v>1431</v>
      </c>
      <c r="D51" s="994" t="s">
        <v>1420</v>
      </c>
      <c r="E51" s="1003">
        <v>31</v>
      </c>
      <c r="F51" s="1067" t="s">
        <v>107</v>
      </c>
      <c r="G51" s="1067"/>
      <c r="H51" s="1067"/>
      <c r="I51" s="1067"/>
      <c r="J51" s="1067"/>
      <c r="K51" s="999">
        <v>426.75</v>
      </c>
      <c r="L51" s="612">
        <f>'통장내역(환율표)'!$D$271</f>
        <v>7.329200050755901</v>
      </c>
      <c r="M51" s="1177">
        <v>58.23</v>
      </c>
      <c r="N51" s="1009">
        <f t="shared" si="4"/>
        <v>343857.63000000105</v>
      </c>
      <c r="O51" s="1009">
        <f t="shared" si="5"/>
        <v>47892.17741960242</v>
      </c>
      <c r="P51" s="992" t="s">
        <v>1471</v>
      </c>
      <c r="Q51" s="713"/>
      <c r="R51" s="1184"/>
      <c r="S51" s="963">
        <f t="shared" si="10"/>
        <v>27.175894780284601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45796</v>
      </c>
      <c r="C52" s="1045" t="s">
        <v>865</v>
      </c>
      <c r="D52" s="994" t="s">
        <v>1420</v>
      </c>
      <c r="E52" s="1003">
        <v>32</v>
      </c>
      <c r="F52" s="1067" t="s">
        <v>107</v>
      </c>
      <c r="G52" s="1067"/>
      <c r="H52" s="1067"/>
      <c r="I52" s="1067"/>
      <c r="J52" s="1067"/>
      <c r="K52" s="999">
        <v>3.6</v>
      </c>
      <c r="L52" s="612">
        <f>'통장내역(환율표)'!$D$271</f>
        <v>7.329200050755901</v>
      </c>
      <c r="M52" s="1177">
        <f t="shared" si="11"/>
        <v>0.49118593776529706</v>
      </c>
      <c r="N52" s="1009">
        <f t="shared" si="4"/>
        <v>343854.03000000108</v>
      </c>
      <c r="O52" s="1009">
        <f t="shared" si="5"/>
        <v>47891.686233664652</v>
      </c>
      <c r="P52" s="992" t="s">
        <v>1471</v>
      </c>
      <c r="Q52" s="713"/>
      <c r="R52" s="1184"/>
      <c r="S52" s="963">
        <f t="shared" si="10"/>
        <v>26.684708842519303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208">
        <v>45796</v>
      </c>
      <c r="C53" s="1209" t="s">
        <v>1432</v>
      </c>
      <c r="D53" s="1210" t="s">
        <v>1418</v>
      </c>
      <c r="E53" s="1211">
        <v>33</v>
      </c>
      <c r="F53" s="1212" t="s">
        <v>146</v>
      </c>
      <c r="G53" s="1212" t="s">
        <v>147</v>
      </c>
      <c r="H53" s="1212"/>
      <c r="I53" s="1212"/>
      <c r="J53" s="1212"/>
      <c r="K53" s="1213">
        <f>L53*M53</f>
        <v>195.60688835851502</v>
      </c>
      <c r="L53" s="1214">
        <f>'통장내역(환율표)'!$D$271</f>
        <v>7.329200050755901</v>
      </c>
      <c r="M53" s="1215">
        <v>26.688709136591381</v>
      </c>
      <c r="N53" s="1216">
        <f t="shared" si="4"/>
        <v>343658.42311164254</v>
      </c>
      <c r="O53" s="1216">
        <f t="shared" si="5"/>
        <v>47864.997524528058</v>
      </c>
      <c r="P53" s="1217" t="s">
        <v>1471</v>
      </c>
      <c r="Q53" s="1218"/>
      <c r="R53" s="1219"/>
      <c r="S53" s="963">
        <f>S52-M53+J53</f>
        <v>-4.0002940720782476E-3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251">
        <v>45796</v>
      </c>
      <c r="C54" s="1252" t="s">
        <v>1432</v>
      </c>
      <c r="D54" s="1253" t="s">
        <v>1418</v>
      </c>
      <c r="E54" s="1254">
        <v>33</v>
      </c>
      <c r="F54" s="1255" t="s">
        <v>146</v>
      </c>
      <c r="G54" s="1255" t="s">
        <v>147</v>
      </c>
      <c r="H54" s="1255"/>
      <c r="I54" s="1255"/>
      <c r="J54" s="1255"/>
      <c r="K54" s="1256">
        <f>3060-K53</f>
        <v>2864.3931116414851</v>
      </c>
      <c r="L54" s="1257">
        <f>'통장내역(환율표)'!$D$279</f>
        <v>7.1803000104460457</v>
      </c>
      <c r="M54" s="1247">
        <f t="shared" si="11"/>
        <v>398.92387608795008</v>
      </c>
      <c r="N54" s="1258">
        <f t="shared" si="4"/>
        <v>340794.03000000108</v>
      </c>
      <c r="O54" s="1258">
        <f t="shared" si="5"/>
        <v>47466.073648440106</v>
      </c>
      <c r="P54" s="1259" t="s">
        <v>1295</v>
      </c>
      <c r="Q54" s="1260"/>
      <c r="R54" s="1232"/>
      <c r="S54" s="963">
        <f>47865-M54+J54</f>
        <v>47466.076123912047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261">
        <v>45796</v>
      </c>
      <c r="C55" s="1238" t="s">
        <v>1433</v>
      </c>
      <c r="D55" s="1275" t="s">
        <v>1418</v>
      </c>
      <c r="E55" s="1262">
        <v>34</v>
      </c>
      <c r="F55" s="1263" t="s">
        <v>146</v>
      </c>
      <c r="G55" s="1263" t="s">
        <v>147</v>
      </c>
      <c r="H55" s="1263"/>
      <c r="I55" s="1263"/>
      <c r="J55" s="1263"/>
      <c r="K55" s="1264">
        <v>179</v>
      </c>
      <c r="L55" s="1265">
        <f>'통장내역(환율표)'!$D$279</f>
        <v>7.1803000104460457</v>
      </c>
      <c r="M55" s="1247">
        <f t="shared" si="11"/>
        <v>24.92932046566121</v>
      </c>
      <c r="N55" s="1266">
        <f t="shared" si="4"/>
        <v>340615.03000000108</v>
      </c>
      <c r="O55" s="1266">
        <f t="shared" si="5"/>
        <v>47441.144327974442</v>
      </c>
      <c r="P55" s="1267" t="s">
        <v>1295</v>
      </c>
      <c r="Q55" s="1268"/>
      <c r="R55" s="1233"/>
      <c r="S55" s="963">
        <f>S54-M55+J55</f>
        <v>47441.146803446383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261">
        <v>45796</v>
      </c>
      <c r="C56" s="1238" t="s">
        <v>1434</v>
      </c>
      <c r="D56" s="1275" t="s">
        <v>1418</v>
      </c>
      <c r="E56" s="1262">
        <v>35</v>
      </c>
      <c r="F56" s="1263" t="s">
        <v>146</v>
      </c>
      <c r="G56" s="1263" t="s">
        <v>147</v>
      </c>
      <c r="H56" s="1263"/>
      <c r="I56" s="1263"/>
      <c r="J56" s="1263"/>
      <c r="K56" s="1264">
        <v>852</v>
      </c>
      <c r="L56" s="1265">
        <f>'통장내역(환율표)'!$D$279</f>
        <v>7.1803000104460457</v>
      </c>
      <c r="M56" s="1247">
        <f t="shared" si="11"/>
        <v>118.65799461867793</v>
      </c>
      <c r="N56" s="1266">
        <f t="shared" si="4"/>
        <v>339763.03000000108</v>
      </c>
      <c r="O56" s="1266">
        <f t="shared" si="5"/>
        <v>47322.486333355766</v>
      </c>
      <c r="P56" s="1267" t="s">
        <v>1295</v>
      </c>
      <c r="Q56" s="1268"/>
      <c r="R56" s="1233"/>
      <c r="S56" s="963">
        <f t="shared" ref="S56:S110" si="12">S55-M56+J56</f>
        <v>47322.488808827708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261">
        <v>45796</v>
      </c>
      <c r="C57" s="1238" t="s">
        <v>865</v>
      </c>
      <c r="D57" s="1275" t="s">
        <v>1418</v>
      </c>
      <c r="E57" s="1262">
        <v>36</v>
      </c>
      <c r="F57" s="1269" t="s">
        <v>107</v>
      </c>
      <c r="G57" s="1270"/>
      <c r="H57" s="1263"/>
      <c r="I57" s="1263"/>
      <c r="J57" s="1263"/>
      <c r="K57" s="1264">
        <v>3.6</v>
      </c>
      <c r="L57" s="1265">
        <f>'통장내역(환율표)'!$D$279</f>
        <v>7.1803000104460457</v>
      </c>
      <c r="M57" s="1247">
        <f t="shared" si="11"/>
        <v>0.50137180824793492</v>
      </c>
      <c r="N57" s="1266">
        <f t="shared" si="4"/>
        <v>339759.4300000011</v>
      </c>
      <c r="O57" s="1266">
        <f t="shared" si="5"/>
        <v>47321.984961547518</v>
      </c>
      <c r="P57" s="1267" t="s">
        <v>1295</v>
      </c>
      <c r="Q57" s="1268"/>
      <c r="R57" s="1267"/>
      <c r="S57" s="963">
        <f t="shared" si="12"/>
        <v>47321.987437019459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261">
        <v>45796</v>
      </c>
      <c r="C58" s="1238" t="s">
        <v>1434</v>
      </c>
      <c r="D58" s="1275" t="s">
        <v>1419</v>
      </c>
      <c r="E58" s="1262">
        <v>37</v>
      </c>
      <c r="F58" s="1263" t="s">
        <v>146</v>
      </c>
      <c r="G58" s="1263" t="s">
        <v>147</v>
      </c>
      <c r="H58" s="1263"/>
      <c r="I58" s="1263"/>
      <c r="J58" s="1263"/>
      <c r="K58" s="1264">
        <v>551</v>
      </c>
      <c r="L58" s="1265">
        <f>'통장내역(환율표)'!$D$279</f>
        <v>7.1803000104460457</v>
      </c>
      <c r="M58" s="1247">
        <f t="shared" si="11"/>
        <v>76.737740651281158</v>
      </c>
      <c r="N58" s="1266">
        <f t="shared" si="4"/>
        <v>339208.4300000011</v>
      </c>
      <c r="O58" s="1266">
        <f t="shared" si="5"/>
        <v>47245.247220896235</v>
      </c>
      <c r="P58" s="1267" t="s">
        <v>1295</v>
      </c>
      <c r="Q58" s="1268"/>
      <c r="R58" s="1267"/>
      <c r="S58" s="963">
        <f t="shared" si="12"/>
        <v>47245.249696368177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261">
        <v>45796</v>
      </c>
      <c r="C59" s="1238" t="s">
        <v>1432</v>
      </c>
      <c r="D59" s="1275" t="s">
        <v>1419</v>
      </c>
      <c r="E59" s="1262">
        <v>38</v>
      </c>
      <c r="F59" s="1269" t="s">
        <v>146</v>
      </c>
      <c r="G59" s="1270" t="s">
        <v>147</v>
      </c>
      <c r="H59" s="1263"/>
      <c r="I59" s="1271"/>
      <c r="J59" s="1263"/>
      <c r="K59" s="1264">
        <v>2361</v>
      </c>
      <c r="L59" s="1265">
        <f>'통장내역(환율표)'!$D$279</f>
        <v>7.1803000104460457</v>
      </c>
      <c r="M59" s="1247">
        <f t="shared" si="11"/>
        <v>328.81634424260398</v>
      </c>
      <c r="N59" s="1266">
        <f t="shared" si="4"/>
        <v>336847.4300000011</v>
      </c>
      <c r="O59" s="1266">
        <f t="shared" si="5"/>
        <v>46916.430876653634</v>
      </c>
      <c r="P59" s="1267" t="s">
        <v>1295</v>
      </c>
      <c r="Q59" s="1268"/>
      <c r="R59" s="1267"/>
      <c r="S59" s="963">
        <f t="shared" si="12"/>
        <v>46916.433352125576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261">
        <v>45796</v>
      </c>
      <c r="C60" s="1238" t="s">
        <v>1433</v>
      </c>
      <c r="D60" s="1275" t="s">
        <v>1419</v>
      </c>
      <c r="E60" s="1262">
        <v>39</v>
      </c>
      <c r="F60" s="1269" t="s">
        <v>146</v>
      </c>
      <c r="G60" s="1270" t="s">
        <v>147</v>
      </c>
      <c r="H60" s="1263"/>
      <c r="I60" s="1271"/>
      <c r="J60" s="1263"/>
      <c r="K60" s="1264">
        <v>84</v>
      </c>
      <c r="L60" s="1265">
        <f>'통장내역(환율표)'!$D$279</f>
        <v>7.1803000104460457</v>
      </c>
      <c r="M60" s="1247">
        <f t="shared" si="11"/>
        <v>11.698675525785148</v>
      </c>
      <c r="N60" s="1266">
        <f t="shared" si="4"/>
        <v>336763.4300000011</v>
      </c>
      <c r="O60" s="1266">
        <f t="shared" si="5"/>
        <v>46904.732201127852</v>
      </c>
      <c r="P60" s="1267" t="s">
        <v>1295</v>
      </c>
      <c r="Q60" s="1268"/>
      <c r="R60" s="1267"/>
      <c r="S60" s="963">
        <f t="shared" si="12"/>
        <v>46904.734676599794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261">
        <v>45796</v>
      </c>
      <c r="C61" s="1238" t="s">
        <v>865</v>
      </c>
      <c r="D61" s="1275" t="s">
        <v>1419</v>
      </c>
      <c r="E61" s="1262">
        <v>40</v>
      </c>
      <c r="F61" s="1269" t="s">
        <v>107</v>
      </c>
      <c r="G61" s="1270"/>
      <c r="H61" s="1263"/>
      <c r="I61" s="1271"/>
      <c r="J61" s="1263"/>
      <c r="K61" s="1264">
        <v>3.6</v>
      </c>
      <c r="L61" s="1265">
        <f>'통장내역(환율표)'!$D$279</f>
        <v>7.1803000104460457</v>
      </c>
      <c r="M61" s="1247">
        <f t="shared" si="11"/>
        <v>0.50137180824793492</v>
      </c>
      <c r="N61" s="1266">
        <f t="shared" si="4"/>
        <v>336759.83000000112</v>
      </c>
      <c r="O61" s="1266">
        <f t="shared" si="5"/>
        <v>46904.230829319604</v>
      </c>
      <c r="P61" s="1267" t="s">
        <v>1295</v>
      </c>
      <c r="Q61" s="1268"/>
      <c r="R61" s="1267"/>
      <c r="S61" s="963">
        <f t="shared" si="12"/>
        <v>46904.233304791545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261">
        <v>45796</v>
      </c>
      <c r="C62" s="1272" t="s">
        <v>305</v>
      </c>
      <c r="D62" s="1262"/>
      <c r="E62" s="1262">
        <v>41</v>
      </c>
      <c r="F62" s="1269" t="s">
        <v>105</v>
      </c>
      <c r="G62" s="1270" t="s">
        <v>227</v>
      </c>
      <c r="H62" s="1273"/>
      <c r="I62" s="1274"/>
      <c r="J62" s="1274"/>
      <c r="K62" s="1264">
        <v>10500</v>
      </c>
      <c r="L62" s="1265">
        <f>'통장내역(환율표)'!$D$279</f>
        <v>7.1803000104460457</v>
      </c>
      <c r="M62" s="1247">
        <f t="shared" si="11"/>
        <v>1462.3344407231436</v>
      </c>
      <c r="N62" s="1266">
        <f t="shared" si="4"/>
        <v>326259.83000000112</v>
      </c>
      <c r="O62" s="1266">
        <f t="shared" si="5"/>
        <v>45441.896388596462</v>
      </c>
      <c r="P62" s="1267" t="s">
        <v>1295</v>
      </c>
      <c r="Q62" s="1268"/>
      <c r="R62" s="1267"/>
      <c r="S62" s="963">
        <f t="shared" si="12"/>
        <v>45441.898864068404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261">
        <v>45796</v>
      </c>
      <c r="C63" s="1272" t="s">
        <v>1116</v>
      </c>
      <c r="D63" s="1262"/>
      <c r="E63" s="1262">
        <v>41</v>
      </c>
      <c r="F63" s="1269" t="s">
        <v>107</v>
      </c>
      <c r="G63" s="1270"/>
      <c r="H63" s="1273"/>
      <c r="I63" s="1274"/>
      <c r="J63" s="1274"/>
      <c r="K63" s="1264">
        <v>6000</v>
      </c>
      <c r="L63" s="1265">
        <f>'통장내역(환율표)'!$D$279</f>
        <v>7.1803000104460457</v>
      </c>
      <c r="M63" s="1247">
        <f t="shared" si="11"/>
        <v>835.61968041322484</v>
      </c>
      <c r="N63" s="1266">
        <f t="shared" si="4"/>
        <v>320259.83000000112</v>
      </c>
      <c r="O63" s="1266">
        <f t="shared" si="5"/>
        <v>44606.276708183235</v>
      </c>
      <c r="P63" s="1267" t="s">
        <v>1295</v>
      </c>
      <c r="Q63" s="1268"/>
      <c r="R63" s="1267"/>
      <c r="S63" s="963">
        <f t="shared" si="12"/>
        <v>44606.279183655177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261">
        <v>45796</v>
      </c>
      <c r="C64" s="1272" t="s">
        <v>1117</v>
      </c>
      <c r="D64" s="1262"/>
      <c r="E64" s="1262">
        <v>41</v>
      </c>
      <c r="F64" s="1269" t="s">
        <v>107</v>
      </c>
      <c r="G64" s="1270"/>
      <c r="H64" s="1273"/>
      <c r="I64" s="1274"/>
      <c r="J64" s="1274"/>
      <c r="K64" s="1264">
        <v>660</v>
      </c>
      <c r="L64" s="1265">
        <f>'통장내역(환율표)'!$D$279</f>
        <v>7.1803000104460457</v>
      </c>
      <c r="M64" s="1247">
        <f t="shared" si="11"/>
        <v>91.91816484545474</v>
      </c>
      <c r="N64" s="1266">
        <f t="shared" si="4"/>
        <v>319599.83000000112</v>
      </c>
      <c r="O64" s="1266">
        <f t="shared" si="5"/>
        <v>44514.358543337781</v>
      </c>
      <c r="P64" s="1267" t="s">
        <v>1295</v>
      </c>
      <c r="Q64" s="1268"/>
      <c r="R64" s="1267"/>
      <c r="S64" s="963">
        <f t="shared" si="12"/>
        <v>44514.361018809723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261">
        <v>45796</v>
      </c>
      <c r="C65" s="1272" t="s">
        <v>305</v>
      </c>
      <c r="D65" s="1262"/>
      <c r="E65" s="1262">
        <v>41</v>
      </c>
      <c r="F65" s="1269" t="s">
        <v>105</v>
      </c>
      <c r="G65" s="1270" t="s">
        <v>227</v>
      </c>
      <c r="H65" s="1273"/>
      <c r="I65" s="1274"/>
      <c r="J65" s="1274"/>
      <c r="K65" s="1264">
        <v>7000</v>
      </c>
      <c r="L65" s="1265">
        <f>'통장내역(환율표)'!$D$279</f>
        <v>7.1803000104460457</v>
      </c>
      <c r="M65" s="1247">
        <f t="shared" si="11"/>
        <v>974.88962714876232</v>
      </c>
      <c r="N65" s="1266">
        <f t="shared" si="4"/>
        <v>312599.83000000112</v>
      </c>
      <c r="O65" s="1266">
        <f t="shared" si="5"/>
        <v>43539.46891618902</v>
      </c>
      <c r="P65" s="1267" t="s">
        <v>1295</v>
      </c>
      <c r="Q65" s="1268"/>
      <c r="R65" s="1267"/>
      <c r="S65" s="963">
        <f t="shared" si="12"/>
        <v>43539.471391660962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261">
        <v>45796</v>
      </c>
      <c r="C66" s="1272" t="s">
        <v>1116</v>
      </c>
      <c r="D66" s="1262"/>
      <c r="E66" s="1262">
        <v>41</v>
      </c>
      <c r="F66" s="1269" t="s">
        <v>107</v>
      </c>
      <c r="G66" s="1270"/>
      <c r="H66" s="1273"/>
      <c r="I66" s="1274"/>
      <c r="J66" s="1274"/>
      <c r="K66" s="1264">
        <v>6000</v>
      </c>
      <c r="L66" s="1265">
        <f>'통장내역(환율표)'!$D$279</f>
        <v>7.1803000104460457</v>
      </c>
      <c r="M66" s="1247">
        <f t="shared" si="11"/>
        <v>835.61968041322484</v>
      </c>
      <c r="N66" s="1266">
        <f t="shared" si="4"/>
        <v>306599.83000000112</v>
      </c>
      <c r="O66" s="1266">
        <f t="shared" si="5"/>
        <v>42703.849235775793</v>
      </c>
      <c r="P66" s="1267" t="s">
        <v>1295</v>
      </c>
      <c r="Q66" s="1268"/>
      <c r="R66" s="1267"/>
      <c r="S66" s="963">
        <f t="shared" si="12"/>
        <v>42703.851711247735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261">
        <v>45796</v>
      </c>
      <c r="C67" s="1272" t="s">
        <v>1117</v>
      </c>
      <c r="D67" s="1262"/>
      <c r="E67" s="1262">
        <v>41</v>
      </c>
      <c r="F67" s="1269" t="s">
        <v>107</v>
      </c>
      <c r="G67" s="1270"/>
      <c r="H67" s="1273"/>
      <c r="I67" s="1274"/>
      <c r="J67" s="1274"/>
      <c r="K67" s="1264">
        <v>140</v>
      </c>
      <c r="L67" s="1265">
        <f>'통장내역(환율표)'!$D$279</f>
        <v>7.1803000104460457</v>
      </c>
      <c r="M67" s="1247">
        <f t="shared" si="11"/>
        <v>19.497792542975247</v>
      </c>
      <c r="N67" s="1266">
        <f t="shared" si="4"/>
        <v>306459.83000000112</v>
      </c>
      <c r="O67" s="1266">
        <f t="shared" si="5"/>
        <v>42684.351443232816</v>
      </c>
      <c r="P67" s="1267" t="s">
        <v>1295</v>
      </c>
      <c r="Q67" s="1268"/>
      <c r="R67" s="1275"/>
      <c r="S67" s="963">
        <f t="shared" si="12"/>
        <v>42684.353918704757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261">
        <v>45796</v>
      </c>
      <c r="C68" s="1272" t="s">
        <v>305</v>
      </c>
      <c r="D68" s="1262"/>
      <c r="E68" s="1262">
        <v>41</v>
      </c>
      <c r="F68" s="1269" t="s">
        <v>105</v>
      </c>
      <c r="G68" s="1270" t="s">
        <v>227</v>
      </c>
      <c r="H68" s="1273"/>
      <c r="I68" s="1274"/>
      <c r="J68" s="1274"/>
      <c r="K68" s="1276">
        <v>3096</v>
      </c>
      <c r="L68" s="1265">
        <f>'통장내역(환율표)'!$D$279</f>
        <v>7.1803000104460457</v>
      </c>
      <c r="M68" s="1247">
        <f t="shared" si="11"/>
        <v>431.17975509322406</v>
      </c>
      <c r="N68" s="1266">
        <f t="shared" si="4"/>
        <v>303363.83000000112</v>
      </c>
      <c r="O68" s="1266">
        <f t="shared" si="5"/>
        <v>42253.171688139591</v>
      </c>
      <c r="P68" s="1267" t="s">
        <v>1295</v>
      </c>
      <c r="Q68" s="1268"/>
      <c r="R68" s="1275"/>
      <c r="S68" s="963">
        <f t="shared" si="12"/>
        <v>42253.174163611533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customHeight="1">
      <c r="A69" s="614"/>
      <c r="B69" s="1261">
        <v>45796</v>
      </c>
      <c r="C69" s="1272" t="s">
        <v>1116</v>
      </c>
      <c r="D69" s="1262"/>
      <c r="E69" s="1262">
        <v>41</v>
      </c>
      <c r="F69" s="1269" t="s">
        <v>107</v>
      </c>
      <c r="G69" s="1270"/>
      <c r="H69" s="1263"/>
      <c r="I69" s="1271"/>
      <c r="J69" s="1263"/>
      <c r="K69" s="1277">
        <v>3096</v>
      </c>
      <c r="L69" s="1265">
        <f>'통장내역(환율표)'!$D$279</f>
        <v>7.1803000104460457</v>
      </c>
      <c r="M69" s="1247">
        <f t="shared" si="11"/>
        <v>431.17975509322406</v>
      </c>
      <c r="N69" s="1266">
        <f t="shared" si="4"/>
        <v>300267.83000000112</v>
      </c>
      <c r="O69" s="1266">
        <f t="shared" si="5"/>
        <v>41821.991933046367</v>
      </c>
      <c r="P69" s="1267" t="s">
        <v>1295</v>
      </c>
      <c r="Q69" s="1268"/>
      <c r="R69" s="1275"/>
      <c r="S69" s="963">
        <f t="shared" si="12"/>
        <v>41821.994408518309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customHeight="1">
      <c r="A70" s="614"/>
      <c r="B70" s="1261">
        <v>45796</v>
      </c>
      <c r="C70" s="1272" t="s">
        <v>250</v>
      </c>
      <c r="D70" s="1262"/>
      <c r="E70" s="1262">
        <v>42</v>
      </c>
      <c r="F70" s="1269" t="s">
        <v>107</v>
      </c>
      <c r="G70" s="1270"/>
      <c r="H70" s="1263"/>
      <c r="I70" s="1271"/>
      <c r="J70" s="1263"/>
      <c r="K70" s="1264">
        <v>7.2</v>
      </c>
      <c r="L70" s="1265">
        <f>'통장내역(환율표)'!$D$279</f>
        <v>7.1803000104460457</v>
      </c>
      <c r="M70" s="1247">
        <f t="shared" si="11"/>
        <v>1.0027436164958698</v>
      </c>
      <c r="N70" s="1266">
        <f t="shared" si="4"/>
        <v>300260.63000000111</v>
      </c>
      <c r="O70" s="1266">
        <f t="shared" si="5"/>
        <v>41820.989189429871</v>
      </c>
      <c r="P70" s="1267" t="s">
        <v>1295</v>
      </c>
      <c r="Q70" s="1268"/>
      <c r="R70" s="1275"/>
      <c r="S70" s="963">
        <f t="shared" si="12"/>
        <v>41820.991664901812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customHeight="1">
      <c r="A71" s="614"/>
      <c r="B71" s="1261">
        <v>45797</v>
      </c>
      <c r="C71" s="1238" t="s">
        <v>11</v>
      </c>
      <c r="D71" s="1275" t="s">
        <v>1480</v>
      </c>
      <c r="E71" s="1262">
        <v>43</v>
      </c>
      <c r="F71" s="1269" t="s">
        <v>125</v>
      </c>
      <c r="G71" s="1270" t="s">
        <v>145</v>
      </c>
      <c r="H71" s="1263"/>
      <c r="I71" s="1271"/>
      <c r="J71" s="1263"/>
      <c r="K71" s="1264">
        <v>14265.08</v>
      </c>
      <c r="L71" s="1265">
        <f>'통장내역(환율표)'!$D$279</f>
        <v>7.1803000104460457</v>
      </c>
      <c r="M71" s="1247">
        <f t="shared" si="11"/>
        <v>1986.6969317781809</v>
      </c>
      <c r="N71" s="1266">
        <f t="shared" si="4"/>
        <v>285995.55000000109</v>
      </c>
      <c r="O71" s="1266">
        <f t="shared" si="5"/>
        <v>39834.292257651687</v>
      </c>
      <c r="P71" s="1267" t="s">
        <v>1295</v>
      </c>
      <c r="Q71" s="1268"/>
      <c r="R71" s="1275"/>
      <c r="S71" s="963">
        <f t="shared" si="12"/>
        <v>39834.294733123628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customHeight="1">
      <c r="A72" s="614"/>
      <c r="B72" s="1261">
        <v>45797</v>
      </c>
      <c r="C72" s="1238" t="s">
        <v>1429</v>
      </c>
      <c r="D72" s="1275" t="s">
        <v>1480</v>
      </c>
      <c r="E72" s="1262">
        <v>44</v>
      </c>
      <c r="F72" s="1269" t="s">
        <v>146</v>
      </c>
      <c r="G72" s="1270" t="s">
        <v>147</v>
      </c>
      <c r="H72" s="1263"/>
      <c r="I72" s="1271"/>
      <c r="J72" s="1263"/>
      <c r="K72" s="1264">
        <v>11800.94</v>
      </c>
      <c r="L72" s="1265">
        <f>'통장내역(환율표)'!$D$279</f>
        <v>7.1803000104460457</v>
      </c>
      <c r="M72" s="1247">
        <f t="shared" si="11"/>
        <v>1643.5162852292738</v>
      </c>
      <c r="N72" s="1266">
        <f t="shared" si="4"/>
        <v>274194.61000000109</v>
      </c>
      <c r="O72" s="1266">
        <f t="shared" si="5"/>
        <v>38190.775972422416</v>
      </c>
      <c r="P72" s="1267" t="s">
        <v>1295</v>
      </c>
      <c r="Q72" s="1268"/>
      <c r="R72" s="1275"/>
      <c r="S72" s="963">
        <f t="shared" si="12"/>
        <v>38190.778447894358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customHeight="1">
      <c r="A73" s="614"/>
      <c r="B73" s="1261">
        <v>45797</v>
      </c>
      <c r="C73" s="1238" t="s">
        <v>1430</v>
      </c>
      <c r="D73" s="1275" t="s">
        <v>1480</v>
      </c>
      <c r="E73" s="1262">
        <v>45</v>
      </c>
      <c r="F73" s="1269" t="s">
        <v>146</v>
      </c>
      <c r="G73" s="1270" t="s">
        <v>147</v>
      </c>
      <c r="H73" s="1263"/>
      <c r="I73" s="1271"/>
      <c r="J73" s="1263"/>
      <c r="K73" s="1264">
        <v>35.74</v>
      </c>
      <c r="L73" s="1265">
        <f>'통장내역(환율표)'!$D$279</f>
        <v>7.1803000104460457</v>
      </c>
      <c r="M73" s="1247">
        <f t="shared" si="11"/>
        <v>4.9775078963281096</v>
      </c>
      <c r="N73" s="1266">
        <f t="shared" si="4"/>
        <v>274158.8700000011</v>
      </c>
      <c r="O73" s="1266">
        <f t="shared" si="5"/>
        <v>38185.798464526088</v>
      </c>
      <c r="P73" s="1267" t="s">
        <v>1295</v>
      </c>
      <c r="Q73" s="1268"/>
      <c r="R73" s="1275"/>
      <c r="S73" s="963">
        <f t="shared" si="12"/>
        <v>38185.800939998029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customHeight="1">
      <c r="A74" s="614"/>
      <c r="B74" s="1261">
        <v>45797</v>
      </c>
      <c r="C74" s="1238" t="s">
        <v>19</v>
      </c>
      <c r="D74" s="1275" t="s">
        <v>1480</v>
      </c>
      <c r="E74" s="1262">
        <v>46</v>
      </c>
      <c r="F74" s="1269" t="s">
        <v>116</v>
      </c>
      <c r="G74" s="1270" t="s">
        <v>140</v>
      </c>
      <c r="H74" s="1263"/>
      <c r="I74" s="1271"/>
      <c r="J74" s="1263"/>
      <c r="K74" s="1264">
        <v>300</v>
      </c>
      <c r="L74" s="1265">
        <f>'통장내역(환율표)'!$D$279</f>
        <v>7.1803000104460457</v>
      </c>
      <c r="M74" s="1247">
        <f t="shared" si="11"/>
        <v>41.780984020661244</v>
      </c>
      <c r="N74" s="1266">
        <f t="shared" si="4"/>
        <v>273858.8700000011</v>
      </c>
      <c r="O74" s="1266">
        <f t="shared" si="5"/>
        <v>38144.017480505427</v>
      </c>
      <c r="P74" s="1267" t="s">
        <v>1295</v>
      </c>
      <c r="Q74" s="1268"/>
      <c r="R74" s="1275"/>
      <c r="S74" s="963">
        <f t="shared" si="12"/>
        <v>38144.019955977368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customHeight="1">
      <c r="A75" s="614"/>
      <c r="B75" s="1261">
        <v>45797</v>
      </c>
      <c r="C75" s="1272" t="s">
        <v>250</v>
      </c>
      <c r="D75" s="1275" t="s">
        <v>1480</v>
      </c>
      <c r="E75" s="1262">
        <v>47</v>
      </c>
      <c r="F75" s="1269" t="s">
        <v>107</v>
      </c>
      <c r="G75" s="1270"/>
      <c r="H75" s="1263"/>
      <c r="I75" s="1271"/>
      <c r="J75" s="1263"/>
      <c r="K75" s="1264">
        <v>7.2</v>
      </c>
      <c r="L75" s="1265">
        <f>'통장내역(환율표)'!$D$279</f>
        <v>7.1803000104460457</v>
      </c>
      <c r="M75" s="1247">
        <f t="shared" si="11"/>
        <v>1.0027436164958698</v>
      </c>
      <c r="N75" s="1266">
        <f t="shared" si="4"/>
        <v>273851.67000000109</v>
      </c>
      <c r="O75" s="1266">
        <f t="shared" si="5"/>
        <v>38143.01473688893</v>
      </c>
      <c r="P75" s="1267" t="s">
        <v>1295</v>
      </c>
      <c r="Q75" s="1268"/>
      <c r="R75" s="1275"/>
      <c r="S75" s="963">
        <f t="shared" si="12"/>
        <v>38143.017212360872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customHeight="1">
      <c r="A76" s="614"/>
      <c r="B76" s="1261">
        <v>45797</v>
      </c>
      <c r="C76" s="1238" t="s">
        <v>1479</v>
      </c>
      <c r="D76" s="1262"/>
      <c r="E76" s="1278">
        <v>48</v>
      </c>
      <c r="F76" s="1269" t="s">
        <v>107</v>
      </c>
      <c r="G76" s="1270"/>
      <c r="H76" s="1263"/>
      <c r="I76" s="1271"/>
      <c r="J76" s="1263"/>
      <c r="K76" s="1279">
        <v>9010</v>
      </c>
      <c r="L76" s="1265">
        <f>'통장내역(환율표)'!$D$279</f>
        <v>7.1803000104460457</v>
      </c>
      <c r="M76" s="1247">
        <f t="shared" si="11"/>
        <v>1254.8222200871926</v>
      </c>
      <c r="N76" s="1266">
        <f t="shared" si="4"/>
        <v>264841.67000000109</v>
      </c>
      <c r="O76" s="1266">
        <f t="shared" si="5"/>
        <v>36888.192516801741</v>
      </c>
      <c r="P76" s="1267" t="s">
        <v>1295</v>
      </c>
      <c r="Q76" s="1268"/>
      <c r="R76" s="1238" t="s">
        <v>1481</v>
      </c>
      <c r="S76" s="963">
        <f t="shared" si="12"/>
        <v>36888.194992273682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customHeight="1">
      <c r="A77" s="614"/>
      <c r="B77" s="1261">
        <v>45797</v>
      </c>
      <c r="C77" s="1272" t="s">
        <v>250</v>
      </c>
      <c r="D77" s="1262"/>
      <c r="E77" s="1278">
        <v>49</v>
      </c>
      <c r="F77" s="1269" t="s">
        <v>107</v>
      </c>
      <c r="G77" s="1270"/>
      <c r="H77" s="1263"/>
      <c r="I77" s="1271"/>
      <c r="J77" s="1263"/>
      <c r="K77" s="1279">
        <v>3.6</v>
      </c>
      <c r="L77" s="1265">
        <f>'통장내역(환율표)'!$D$279</f>
        <v>7.1803000104460457</v>
      </c>
      <c r="M77" s="1247">
        <f t="shared" si="11"/>
        <v>0.50137180824793492</v>
      </c>
      <c r="N77" s="1266">
        <f t="shared" si="4"/>
        <v>264838.07000000111</v>
      </c>
      <c r="O77" s="1266">
        <f t="shared" si="5"/>
        <v>36887.691144993492</v>
      </c>
      <c r="P77" s="1267" t="s">
        <v>1295</v>
      </c>
      <c r="Q77" s="1268"/>
      <c r="R77" s="1238"/>
      <c r="S77" s="963">
        <f t="shared" si="12"/>
        <v>36887.693620465434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customHeight="1">
      <c r="A78" s="614"/>
      <c r="B78" s="1261">
        <v>45800</v>
      </c>
      <c r="C78" s="1238" t="s">
        <v>1474</v>
      </c>
      <c r="D78" s="1262"/>
      <c r="E78" s="1278">
        <v>50</v>
      </c>
      <c r="F78" s="1269" t="s">
        <v>107</v>
      </c>
      <c r="G78" s="1270"/>
      <c r="H78" s="1263"/>
      <c r="I78" s="1271"/>
      <c r="J78" s="1263"/>
      <c r="K78" s="1279">
        <v>80</v>
      </c>
      <c r="L78" s="1265">
        <f>'통장내역(환율표)'!$D$279</f>
        <v>7.1803000104460457</v>
      </c>
      <c r="M78" s="1247">
        <f t="shared" si="11"/>
        <v>11.141595738842998</v>
      </c>
      <c r="N78" s="1266">
        <f t="shared" si="4"/>
        <v>264758.07000000111</v>
      </c>
      <c r="O78" s="1266">
        <f t="shared" si="5"/>
        <v>36876.549549254647</v>
      </c>
      <c r="P78" s="1267" t="s">
        <v>1295</v>
      </c>
      <c r="Q78" s="1268"/>
      <c r="R78" s="1238" t="s">
        <v>1482</v>
      </c>
      <c r="S78" s="963">
        <f t="shared" si="12"/>
        <v>36876.552024726589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s="559" customFormat="1" ht="11.25" customHeight="1">
      <c r="A79" s="614"/>
      <c r="B79" s="1261">
        <v>45800</v>
      </c>
      <c r="C79" s="1238" t="s">
        <v>892</v>
      </c>
      <c r="D79" s="1262"/>
      <c r="E79" s="1262">
        <v>51</v>
      </c>
      <c r="F79" s="1269" t="s">
        <v>107</v>
      </c>
      <c r="G79" s="1270"/>
      <c r="H79" s="1263"/>
      <c r="I79" s="1271"/>
      <c r="J79" s="1263"/>
      <c r="K79" s="1280">
        <v>16000</v>
      </c>
      <c r="L79" s="1265">
        <f>'통장내역(환율표)'!$D$279</f>
        <v>7.1803000104460457</v>
      </c>
      <c r="M79" s="1247">
        <f t="shared" si="11"/>
        <v>2228.3191477685996</v>
      </c>
      <c r="N79" s="1266">
        <f t="shared" si="4"/>
        <v>248758.07000000111</v>
      </c>
      <c r="O79" s="1266">
        <f t="shared" si="5"/>
        <v>34648.230401486049</v>
      </c>
      <c r="P79" s="1267" t="s">
        <v>1295</v>
      </c>
      <c r="Q79" s="1268"/>
      <c r="R79" s="1536" t="s">
        <v>1483</v>
      </c>
      <c r="S79" s="963">
        <f t="shared" si="12"/>
        <v>34648.232876957991</v>
      </c>
      <c r="T79" s="531"/>
      <c r="U79" s="645"/>
      <c r="V79" s="531"/>
      <c r="W79" s="531"/>
      <c r="X79" s="531"/>
      <c r="Y79" s="531"/>
      <c r="Z79" s="531"/>
      <c r="AA79" s="531"/>
      <c r="AB79" s="531"/>
      <c r="AC79" s="531"/>
    </row>
    <row r="80" spans="1:29" s="559" customFormat="1" ht="11.25" customHeight="1">
      <c r="A80" s="614"/>
      <c r="B80" s="1261">
        <v>45800</v>
      </c>
      <c r="C80" s="1238" t="s">
        <v>947</v>
      </c>
      <c r="D80" s="1262"/>
      <c r="E80" s="1262">
        <v>51</v>
      </c>
      <c r="F80" s="1269" t="s">
        <v>107</v>
      </c>
      <c r="G80" s="1270"/>
      <c r="H80" s="1263"/>
      <c r="I80" s="1271"/>
      <c r="J80" s="1263"/>
      <c r="K80" s="1280">
        <v>24000</v>
      </c>
      <c r="L80" s="1265">
        <f>'통장내역(환율표)'!$D$279</f>
        <v>7.1803000104460457</v>
      </c>
      <c r="M80" s="1247">
        <f t="shared" si="11"/>
        <v>3342.4787216528994</v>
      </c>
      <c r="N80" s="1266">
        <f t="shared" si="4"/>
        <v>224758.07000000111</v>
      </c>
      <c r="O80" s="1266">
        <f t="shared" si="5"/>
        <v>31305.751679833149</v>
      </c>
      <c r="P80" s="1267" t="s">
        <v>1295</v>
      </c>
      <c r="Q80" s="1268"/>
      <c r="R80" s="1537"/>
      <c r="S80" s="963">
        <f t="shared" si="12"/>
        <v>31305.754155305091</v>
      </c>
      <c r="T80" s="531"/>
      <c r="U80" s="645"/>
      <c r="V80" s="531"/>
      <c r="W80" s="531"/>
      <c r="X80" s="531"/>
      <c r="Y80" s="531"/>
      <c r="Z80" s="531"/>
      <c r="AA80" s="531"/>
      <c r="AB80" s="531"/>
      <c r="AC80" s="531"/>
    </row>
    <row r="81" spans="1:29" s="559" customFormat="1" ht="11.25" customHeight="1">
      <c r="A81" s="614"/>
      <c r="B81" s="1261">
        <v>45800</v>
      </c>
      <c r="C81" s="1238" t="s">
        <v>894</v>
      </c>
      <c r="D81" s="1262"/>
      <c r="E81" s="1262">
        <v>51</v>
      </c>
      <c r="F81" s="1269" t="s">
        <v>107</v>
      </c>
      <c r="G81" s="1270"/>
      <c r="H81" s="1263"/>
      <c r="I81" s="1271"/>
      <c r="J81" s="1263"/>
      <c r="K81" s="1280">
        <v>9305.1899999999987</v>
      </c>
      <c r="L81" s="1265">
        <f>'통장내역(환율표)'!$D$279</f>
        <v>7.1803000104460457</v>
      </c>
      <c r="M81" s="1247">
        <f t="shared" si="11"/>
        <v>1295.9333156640557</v>
      </c>
      <c r="N81" s="1266">
        <f t="shared" si="4"/>
        <v>215452.88000000111</v>
      </c>
      <c r="O81" s="1266">
        <f t="shared" si="5"/>
        <v>30009.818364169092</v>
      </c>
      <c r="P81" s="1267" t="s">
        <v>1295</v>
      </c>
      <c r="Q81" s="1268"/>
      <c r="R81" s="1537"/>
      <c r="S81" s="963">
        <f t="shared" si="12"/>
        <v>30009.820839641034</v>
      </c>
      <c r="T81" s="531"/>
      <c r="U81" s="645"/>
      <c r="V81" s="531"/>
      <c r="W81" s="531"/>
      <c r="X81" s="531"/>
      <c r="Y81" s="531"/>
      <c r="Z81" s="531"/>
      <c r="AA81" s="531"/>
      <c r="AB81" s="531"/>
      <c r="AC81" s="531"/>
    </row>
    <row r="82" spans="1:29" s="559" customFormat="1" ht="11.25" customHeight="1">
      <c r="A82" s="614"/>
      <c r="B82" s="1261">
        <v>45800</v>
      </c>
      <c r="C82" s="1238" t="s">
        <v>895</v>
      </c>
      <c r="D82" s="1262"/>
      <c r="E82" s="1262">
        <v>51</v>
      </c>
      <c r="F82" s="1269" t="s">
        <v>107</v>
      </c>
      <c r="G82" s="1270"/>
      <c r="H82" s="1263"/>
      <c r="I82" s="1271"/>
      <c r="J82" s="1263"/>
      <c r="K82" s="1280">
        <v>4468.7999999999993</v>
      </c>
      <c r="L82" s="1265">
        <f>'통장내역(환율표)'!$D$279</f>
        <v>7.1803000104460457</v>
      </c>
      <c r="M82" s="1247">
        <f t="shared" si="11"/>
        <v>622.36953797176977</v>
      </c>
      <c r="N82" s="1266">
        <f t="shared" si="4"/>
        <v>210984.08000000112</v>
      </c>
      <c r="O82" s="1266">
        <f t="shared" si="5"/>
        <v>29387.448826197324</v>
      </c>
      <c r="P82" s="1267" t="s">
        <v>1295</v>
      </c>
      <c r="Q82" s="1268"/>
      <c r="R82" s="1537"/>
      <c r="S82" s="963">
        <f t="shared" si="12"/>
        <v>29387.451301669265</v>
      </c>
      <c r="T82" s="531"/>
      <c r="U82" s="645"/>
      <c r="V82" s="531"/>
      <c r="W82" s="531"/>
      <c r="X82" s="531"/>
      <c r="Y82" s="531"/>
      <c r="Z82" s="531"/>
      <c r="AA82" s="531"/>
      <c r="AB82" s="531"/>
      <c r="AC82" s="531"/>
    </row>
    <row r="83" spans="1:29" s="559" customFormat="1" ht="11.25" customHeight="1">
      <c r="A83" s="614"/>
      <c r="B83" s="1261">
        <v>45800</v>
      </c>
      <c r="C83" s="1238" t="s">
        <v>899</v>
      </c>
      <c r="D83" s="1262"/>
      <c r="E83" s="1262">
        <v>51</v>
      </c>
      <c r="F83" s="1269" t="s">
        <v>107</v>
      </c>
      <c r="G83" s="1270"/>
      <c r="H83" s="1263"/>
      <c r="I83" s="1271"/>
      <c r="J83" s="1263"/>
      <c r="K83" s="1280">
        <v>300</v>
      </c>
      <c r="L83" s="1265">
        <f>'통장내역(환율표)'!$D$279</f>
        <v>7.1803000104460457</v>
      </c>
      <c r="M83" s="1247">
        <f t="shared" si="11"/>
        <v>41.780984020661244</v>
      </c>
      <c r="N83" s="1266">
        <f t="shared" si="4"/>
        <v>210684.08000000112</v>
      </c>
      <c r="O83" s="1266">
        <f t="shared" si="5"/>
        <v>29345.667842176663</v>
      </c>
      <c r="P83" s="1267" t="s">
        <v>1295</v>
      </c>
      <c r="Q83" s="1268"/>
      <c r="R83" s="1537"/>
      <c r="S83" s="963">
        <f t="shared" si="12"/>
        <v>29345.670317648604</v>
      </c>
      <c r="T83" s="531"/>
      <c r="U83" s="645"/>
      <c r="V83" s="531"/>
      <c r="W83" s="531"/>
      <c r="X83" s="531"/>
      <c r="Y83" s="531"/>
      <c r="Z83" s="531"/>
      <c r="AA83" s="531"/>
      <c r="AB83" s="531"/>
      <c r="AC83" s="531"/>
    </row>
    <row r="84" spans="1:29" s="559" customFormat="1" ht="11.25" customHeight="1">
      <c r="A84" s="614"/>
      <c r="B84" s="1261">
        <v>45800</v>
      </c>
      <c r="C84" s="1238" t="s">
        <v>892</v>
      </c>
      <c r="D84" s="1262"/>
      <c r="E84" s="1262">
        <v>51</v>
      </c>
      <c r="F84" s="1269" t="s">
        <v>107</v>
      </c>
      <c r="G84" s="1270"/>
      <c r="H84" s="1263"/>
      <c r="I84" s="1271"/>
      <c r="J84" s="1263"/>
      <c r="K84" s="1280">
        <v>16000</v>
      </c>
      <c r="L84" s="1265">
        <f>'통장내역(환율표)'!$D$279</f>
        <v>7.1803000104460457</v>
      </c>
      <c r="M84" s="1247">
        <f t="shared" si="11"/>
        <v>2228.3191477685996</v>
      </c>
      <c r="N84" s="1266">
        <f t="shared" si="4"/>
        <v>194684.08000000112</v>
      </c>
      <c r="O84" s="1266">
        <f t="shared" si="5"/>
        <v>27117.348694408065</v>
      </c>
      <c r="P84" s="1267" t="s">
        <v>1295</v>
      </c>
      <c r="Q84" s="1268"/>
      <c r="R84" s="1536" t="s">
        <v>1120</v>
      </c>
      <c r="S84" s="963">
        <f t="shared" si="12"/>
        <v>27117.351169880007</v>
      </c>
      <c r="T84" s="531"/>
      <c r="U84" s="645"/>
      <c r="V84" s="531"/>
      <c r="W84" s="531"/>
      <c r="X84" s="531"/>
      <c r="Y84" s="531"/>
      <c r="Z84" s="531"/>
      <c r="AA84" s="531"/>
      <c r="AB84" s="531"/>
      <c r="AC84" s="531"/>
    </row>
    <row r="85" spans="1:29" s="559" customFormat="1" ht="11.25" customHeight="1">
      <c r="A85" s="614"/>
      <c r="B85" s="1261">
        <v>45800</v>
      </c>
      <c r="C85" s="1238" t="s">
        <v>947</v>
      </c>
      <c r="D85" s="1262"/>
      <c r="E85" s="1262">
        <v>51</v>
      </c>
      <c r="F85" s="1269" t="s">
        <v>107</v>
      </c>
      <c r="G85" s="1270"/>
      <c r="H85" s="1263"/>
      <c r="I85" s="1271"/>
      <c r="J85" s="1263"/>
      <c r="K85" s="1280">
        <v>24000</v>
      </c>
      <c r="L85" s="1265">
        <f>'통장내역(환율표)'!$D$279</f>
        <v>7.1803000104460457</v>
      </c>
      <c r="M85" s="1247">
        <f t="shared" si="11"/>
        <v>3342.4787216528994</v>
      </c>
      <c r="N85" s="1266">
        <f t="shared" ref="N85:N110" si="13">N84+H85-K85</f>
        <v>170684.08000000112</v>
      </c>
      <c r="O85" s="1266">
        <f t="shared" ref="O85:O110" si="14">O84+J85-M85</f>
        <v>23774.869972755165</v>
      </c>
      <c r="P85" s="1267" t="s">
        <v>1295</v>
      </c>
      <c r="Q85" s="1268"/>
      <c r="R85" s="1537"/>
      <c r="S85" s="963">
        <f t="shared" si="12"/>
        <v>23774.872448227106</v>
      </c>
      <c r="T85" s="531"/>
      <c r="U85" s="645"/>
      <c r="V85" s="531"/>
      <c r="W85" s="531"/>
      <c r="X85" s="531"/>
      <c r="Y85" s="531"/>
      <c r="Z85" s="531"/>
      <c r="AA85" s="531"/>
      <c r="AB85" s="531"/>
      <c r="AC85" s="531"/>
    </row>
    <row r="86" spans="1:29" s="559" customFormat="1" ht="11.25" customHeight="1">
      <c r="A86" s="614"/>
      <c r="B86" s="1261">
        <v>45800</v>
      </c>
      <c r="C86" s="1238" t="s">
        <v>894</v>
      </c>
      <c r="D86" s="1262"/>
      <c r="E86" s="1262">
        <v>51</v>
      </c>
      <c r="F86" s="1269" t="s">
        <v>107</v>
      </c>
      <c r="G86" s="1270"/>
      <c r="H86" s="1263"/>
      <c r="I86" s="1271"/>
      <c r="J86" s="1263"/>
      <c r="K86" s="1234">
        <v>5305.1900000000005</v>
      </c>
      <c r="L86" s="1265">
        <f>'통장내역(환율표)'!$D$279</f>
        <v>7.1803000104460457</v>
      </c>
      <c r="M86" s="1247">
        <f t="shared" si="11"/>
        <v>738.85352872190617</v>
      </c>
      <c r="N86" s="1266">
        <f t="shared" si="13"/>
        <v>165378.89000000112</v>
      </c>
      <c r="O86" s="1266">
        <f t="shared" si="14"/>
        <v>23036.016444033259</v>
      </c>
      <c r="P86" s="1267" t="s">
        <v>1295</v>
      </c>
      <c r="Q86" s="1268"/>
      <c r="R86" s="1537"/>
      <c r="S86" s="963">
        <f t="shared" si="12"/>
        <v>23036.018919505201</v>
      </c>
      <c r="T86" s="531"/>
      <c r="U86" s="645"/>
      <c r="V86" s="531"/>
      <c r="W86" s="531"/>
      <c r="X86" s="531"/>
      <c r="Y86" s="531"/>
      <c r="Z86" s="531"/>
      <c r="AA86" s="531"/>
      <c r="AB86" s="531"/>
      <c r="AC86" s="531"/>
    </row>
    <row r="87" spans="1:29" s="559" customFormat="1" ht="11.25" customHeight="1">
      <c r="A87" s="614"/>
      <c r="B87" s="1261">
        <v>45800</v>
      </c>
      <c r="C87" s="1238" t="s">
        <v>895</v>
      </c>
      <c r="D87" s="1262"/>
      <c r="E87" s="1262">
        <v>51</v>
      </c>
      <c r="F87" s="1269" t="s">
        <v>107</v>
      </c>
      <c r="G87" s="1270"/>
      <c r="H87" s="1263"/>
      <c r="I87" s="1271"/>
      <c r="J87" s="1263"/>
      <c r="K87" s="1234">
        <v>5620.7999999999993</v>
      </c>
      <c r="L87" s="1265">
        <f>'통장내역(환율표)'!$D$279</f>
        <v>7.1803000104460457</v>
      </c>
      <c r="M87" s="1247">
        <f t="shared" si="11"/>
        <v>782.80851661110898</v>
      </c>
      <c r="N87" s="1266">
        <f t="shared" si="13"/>
        <v>159758.09000000113</v>
      </c>
      <c r="O87" s="1266">
        <f t="shared" si="14"/>
        <v>22253.207927422151</v>
      </c>
      <c r="P87" s="1267" t="s">
        <v>1295</v>
      </c>
      <c r="Q87" s="1268"/>
      <c r="R87" s="1537"/>
      <c r="S87" s="963">
        <f t="shared" si="12"/>
        <v>22253.210402894092</v>
      </c>
      <c r="T87" s="531"/>
      <c r="U87" s="645"/>
      <c r="V87" s="531"/>
      <c r="W87" s="531"/>
      <c r="X87" s="531"/>
      <c r="Y87" s="531"/>
      <c r="Z87" s="531"/>
      <c r="AA87" s="531"/>
      <c r="AB87" s="531"/>
      <c r="AC87" s="531"/>
    </row>
    <row r="88" spans="1:29" s="559" customFormat="1" ht="11.25" customHeight="1">
      <c r="A88" s="614"/>
      <c r="B88" s="1261">
        <v>45800</v>
      </c>
      <c r="C88" s="1238" t="s">
        <v>899</v>
      </c>
      <c r="D88" s="1262"/>
      <c r="E88" s="1262">
        <v>51</v>
      </c>
      <c r="F88" s="1269" t="s">
        <v>107</v>
      </c>
      <c r="G88" s="1270"/>
      <c r="H88" s="1263"/>
      <c r="I88" s="1271"/>
      <c r="J88" s="1263"/>
      <c r="K88" s="1234">
        <v>300</v>
      </c>
      <c r="L88" s="1265">
        <f>'통장내역(환율표)'!$D$279</f>
        <v>7.1803000104460457</v>
      </c>
      <c r="M88" s="1247">
        <f t="shared" si="11"/>
        <v>41.780984020661244</v>
      </c>
      <c r="N88" s="1266">
        <f t="shared" si="13"/>
        <v>159458.09000000113</v>
      </c>
      <c r="O88" s="1266">
        <f t="shared" si="14"/>
        <v>22211.42694340149</v>
      </c>
      <c r="P88" s="1267" t="s">
        <v>1295</v>
      </c>
      <c r="Q88" s="1268"/>
      <c r="R88" s="1537"/>
      <c r="S88" s="963">
        <f t="shared" si="12"/>
        <v>22211.429418873431</v>
      </c>
      <c r="T88" s="531"/>
      <c r="U88" s="645"/>
      <c r="V88" s="531"/>
      <c r="W88" s="531"/>
      <c r="X88" s="531"/>
      <c r="Y88" s="531"/>
      <c r="Z88" s="531"/>
      <c r="AA88" s="531"/>
      <c r="AB88" s="531"/>
      <c r="AC88" s="531"/>
    </row>
    <row r="89" spans="1:29" s="559" customFormat="1" ht="11.25" customHeight="1">
      <c r="A89" s="614"/>
      <c r="B89" s="1261">
        <v>45800</v>
      </c>
      <c r="C89" s="1238" t="s">
        <v>898</v>
      </c>
      <c r="D89" s="1262"/>
      <c r="E89" s="1262">
        <v>51</v>
      </c>
      <c r="F89" s="1269" t="s">
        <v>107</v>
      </c>
      <c r="G89" s="1270"/>
      <c r="H89" s="1263"/>
      <c r="I89" s="1271"/>
      <c r="J89" s="1263"/>
      <c r="K89" s="1235">
        <v>25750</v>
      </c>
      <c r="L89" s="1265">
        <f>'통장내역(환율표)'!$D$279</f>
        <v>7.1803000104460457</v>
      </c>
      <c r="M89" s="1247">
        <f t="shared" si="11"/>
        <v>3586.2011284400901</v>
      </c>
      <c r="N89" s="1266">
        <f t="shared" si="13"/>
        <v>133708.09000000113</v>
      </c>
      <c r="O89" s="1266">
        <f t="shared" si="14"/>
        <v>18625.225814961399</v>
      </c>
      <c r="P89" s="1267" t="s">
        <v>1295</v>
      </c>
      <c r="Q89" s="1268"/>
      <c r="R89" s="1536" t="s">
        <v>1465</v>
      </c>
      <c r="S89" s="963">
        <f t="shared" si="12"/>
        <v>18625.228290433341</v>
      </c>
      <c r="T89" s="531"/>
      <c r="U89" s="645"/>
      <c r="V89" s="531"/>
      <c r="W89" s="531"/>
      <c r="X89" s="531"/>
      <c r="Y89" s="531"/>
      <c r="Z89" s="531"/>
      <c r="AA89" s="531"/>
      <c r="AB89" s="531"/>
      <c r="AC89" s="531"/>
    </row>
    <row r="90" spans="1:29" ht="11.25" customHeight="1">
      <c r="B90" s="1261">
        <v>45800</v>
      </c>
      <c r="C90" s="1238" t="s">
        <v>1118</v>
      </c>
      <c r="D90" s="1262"/>
      <c r="E90" s="1262">
        <v>51</v>
      </c>
      <c r="F90" s="1269" t="s">
        <v>107</v>
      </c>
      <c r="G90" s="1270"/>
      <c r="H90" s="1263"/>
      <c r="I90" s="1271"/>
      <c r="J90" s="1263"/>
      <c r="K90" s="1235">
        <v>1000</v>
      </c>
      <c r="L90" s="1265">
        <f>'통장내역(환율표)'!$D$279</f>
        <v>7.1803000104460457</v>
      </c>
      <c r="M90" s="1247">
        <f t="shared" si="11"/>
        <v>139.26994673553747</v>
      </c>
      <c r="N90" s="1266">
        <f t="shared" si="13"/>
        <v>132708.09000000113</v>
      </c>
      <c r="O90" s="1266">
        <f t="shared" si="14"/>
        <v>18485.955868225861</v>
      </c>
      <c r="P90" s="1267" t="s">
        <v>1295</v>
      </c>
      <c r="Q90" s="1268"/>
      <c r="R90" s="1536"/>
      <c r="S90" s="963">
        <f t="shared" si="12"/>
        <v>18485.958343697803</v>
      </c>
    </row>
    <row r="91" spans="1:29" ht="11.25" customHeight="1">
      <c r="B91" s="1261">
        <v>45800</v>
      </c>
      <c r="C91" s="1238" t="s">
        <v>948</v>
      </c>
      <c r="D91" s="1262"/>
      <c r="E91" s="1262">
        <v>51</v>
      </c>
      <c r="F91" s="1269" t="s">
        <v>107</v>
      </c>
      <c r="G91" s="1270"/>
      <c r="H91" s="1263"/>
      <c r="I91" s="1271"/>
      <c r="J91" s="1263"/>
      <c r="K91" s="1234">
        <v>7431.44</v>
      </c>
      <c r="L91" s="1265">
        <f>'통장내역(환율표)'!$D$279</f>
        <v>7.1803000104460457</v>
      </c>
      <c r="M91" s="1247">
        <f t="shared" si="11"/>
        <v>1034.9762529683426</v>
      </c>
      <c r="N91" s="1266">
        <f t="shared" si="13"/>
        <v>125276.65000000113</v>
      </c>
      <c r="O91" s="1266">
        <f t="shared" si="14"/>
        <v>17450.979615257518</v>
      </c>
      <c r="P91" s="1267" t="s">
        <v>1295</v>
      </c>
      <c r="Q91" s="1268"/>
      <c r="R91" s="1537"/>
      <c r="S91" s="963">
        <f t="shared" si="12"/>
        <v>17450.98209072946</v>
      </c>
    </row>
    <row r="92" spans="1:29" ht="11.25" customHeight="1">
      <c r="B92" s="1261">
        <v>45800</v>
      </c>
      <c r="C92" s="1238" t="s">
        <v>899</v>
      </c>
      <c r="D92" s="1262"/>
      <c r="E92" s="1262">
        <v>51</v>
      </c>
      <c r="F92" s="1269" t="s">
        <v>107</v>
      </c>
      <c r="G92" s="1270"/>
      <c r="H92" s="1263"/>
      <c r="I92" s="1271"/>
      <c r="J92" s="1263"/>
      <c r="K92" s="1234">
        <v>300</v>
      </c>
      <c r="L92" s="1265">
        <f>'통장내역(환율표)'!$D$279</f>
        <v>7.1803000104460457</v>
      </c>
      <c r="M92" s="1247">
        <f t="shared" si="11"/>
        <v>41.780984020661244</v>
      </c>
      <c r="N92" s="1266">
        <f t="shared" si="13"/>
        <v>124976.65000000113</v>
      </c>
      <c r="O92" s="1266">
        <f t="shared" si="14"/>
        <v>17409.198631236857</v>
      </c>
      <c r="P92" s="1267" t="s">
        <v>1295</v>
      </c>
      <c r="Q92" s="1268"/>
      <c r="R92" s="1537"/>
      <c r="S92" s="963">
        <f t="shared" si="12"/>
        <v>17409.201106708799</v>
      </c>
    </row>
    <row r="93" spans="1:29" ht="11.25" customHeight="1">
      <c r="B93" s="1261">
        <v>45800</v>
      </c>
      <c r="C93" s="1238" t="s">
        <v>992</v>
      </c>
      <c r="D93" s="1262"/>
      <c r="E93" s="1262">
        <v>51</v>
      </c>
      <c r="F93" s="1269" t="s">
        <v>107</v>
      </c>
      <c r="G93" s="1270"/>
      <c r="H93" s="1263"/>
      <c r="I93" s="1271"/>
      <c r="J93" s="1263"/>
      <c r="K93" s="1235">
        <v>200</v>
      </c>
      <c r="L93" s="1265">
        <f>'통장내역(환율표)'!$D$279</f>
        <v>7.1803000104460457</v>
      </c>
      <c r="M93" s="1247">
        <f t="shared" si="11"/>
        <v>27.853989347107497</v>
      </c>
      <c r="N93" s="1266">
        <f t="shared" si="13"/>
        <v>124776.65000000113</v>
      </c>
      <c r="O93" s="1266">
        <f t="shared" si="14"/>
        <v>17381.344641889751</v>
      </c>
      <c r="P93" s="1267" t="s">
        <v>1295</v>
      </c>
      <c r="Q93" s="1268"/>
      <c r="R93" s="1537"/>
      <c r="S93" s="963">
        <f t="shared" si="12"/>
        <v>17381.347117361693</v>
      </c>
    </row>
    <row r="94" spans="1:29" ht="11.25" customHeight="1">
      <c r="B94" s="1261">
        <v>45800</v>
      </c>
      <c r="C94" s="1238" t="s">
        <v>898</v>
      </c>
      <c r="D94" s="1262"/>
      <c r="E94" s="1262">
        <v>51</v>
      </c>
      <c r="F94" s="1269" t="s">
        <v>107</v>
      </c>
      <c r="G94" s="1270"/>
      <c r="H94" s="1263"/>
      <c r="I94" s="1271"/>
      <c r="J94" s="1263"/>
      <c r="K94" s="1235">
        <v>13390</v>
      </c>
      <c r="L94" s="1265">
        <f>'통장내역(환율표)'!$D$279</f>
        <v>7.1803000104460457</v>
      </c>
      <c r="M94" s="1247">
        <f t="shared" si="11"/>
        <v>1864.8245867888468</v>
      </c>
      <c r="N94" s="1266">
        <f t="shared" si="13"/>
        <v>111386.65000000113</v>
      </c>
      <c r="O94" s="1266">
        <f t="shared" si="14"/>
        <v>15516.520055100904</v>
      </c>
      <c r="P94" s="1267" t="s">
        <v>1295</v>
      </c>
      <c r="Q94" s="1268"/>
      <c r="R94" s="1538" t="s">
        <v>1466</v>
      </c>
      <c r="S94" s="963">
        <f t="shared" si="12"/>
        <v>15516.522530572845</v>
      </c>
    </row>
    <row r="95" spans="1:29" ht="11.25" customHeight="1">
      <c r="B95" s="1261">
        <v>45800</v>
      </c>
      <c r="C95" s="1238" t="s">
        <v>1118</v>
      </c>
      <c r="D95" s="1262"/>
      <c r="E95" s="1262">
        <v>51</v>
      </c>
      <c r="F95" s="1269" t="s">
        <v>107</v>
      </c>
      <c r="G95" s="1270"/>
      <c r="H95" s="1263"/>
      <c r="I95" s="1271"/>
      <c r="J95" s="1263"/>
      <c r="K95" s="1235">
        <v>1000</v>
      </c>
      <c r="L95" s="1265">
        <f>'통장내역(환율표)'!$D$279</f>
        <v>7.1803000104460457</v>
      </c>
      <c r="M95" s="1247">
        <f t="shared" si="11"/>
        <v>139.26994673553747</v>
      </c>
      <c r="N95" s="1266">
        <f t="shared" si="13"/>
        <v>110386.65000000113</v>
      </c>
      <c r="O95" s="1266">
        <f t="shared" si="14"/>
        <v>15377.250108365366</v>
      </c>
      <c r="P95" s="1267" t="s">
        <v>1295</v>
      </c>
      <c r="Q95" s="1268"/>
      <c r="R95" s="1536"/>
      <c r="S95" s="963">
        <f t="shared" si="12"/>
        <v>15377.252583837308</v>
      </c>
    </row>
    <row r="96" spans="1:29" ht="11.25" customHeight="1">
      <c r="B96" s="1261">
        <v>45800</v>
      </c>
      <c r="C96" s="1238" t="s">
        <v>948</v>
      </c>
      <c r="D96" s="1262"/>
      <c r="E96" s="1262">
        <v>51</v>
      </c>
      <c r="F96" s="1269" t="s">
        <v>107</v>
      </c>
      <c r="G96" s="1270"/>
      <c r="H96" s="1263"/>
      <c r="I96" s="1271"/>
      <c r="J96" s="1263"/>
      <c r="K96" s="1236">
        <v>3281.57</v>
      </c>
      <c r="L96" s="1265">
        <f>'통장내역(환율표)'!$D$279</f>
        <v>7.1803000104460457</v>
      </c>
      <c r="M96" s="1247">
        <f t="shared" si="11"/>
        <v>457.02407910893777</v>
      </c>
      <c r="N96" s="1266">
        <f t="shared" si="13"/>
        <v>107105.08000000112</v>
      </c>
      <c r="O96" s="1266">
        <f t="shared" si="14"/>
        <v>14920.226029256428</v>
      </c>
      <c r="P96" s="1267" t="s">
        <v>1295</v>
      </c>
      <c r="Q96" s="1268"/>
      <c r="R96" s="1537"/>
      <c r="S96" s="963">
        <f t="shared" si="12"/>
        <v>14920.228504728369</v>
      </c>
    </row>
    <row r="97" spans="1:29" ht="11.25" customHeight="1">
      <c r="B97" s="1261">
        <v>45800</v>
      </c>
      <c r="C97" s="1238" t="s">
        <v>899</v>
      </c>
      <c r="D97" s="1262"/>
      <c r="E97" s="1262">
        <v>51</v>
      </c>
      <c r="F97" s="1269" t="s">
        <v>107</v>
      </c>
      <c r="G97" s="1270"/>
      <c r="H97" s="1263"/>
      <c r="I97" s="1271"/>
      <c r="J97" s="1263"/>
      <c r="K97" s="1236">
        <v>300</v>
      </c>
      <c r="L97" s="1265">
        <f>'통장내역(환율표)'!$D$279</f>
        <v>7.1803000104460457</v>
      </c>
      <c r="M97" s="1247">
        <f t="shared" si="11"/>
        <v>41.780984020661244</v>
      </c>
      <c r="N97" s="1266">
        <f t="shared" si="13"/>
        <v>106805.08000000112</v>
      </c>
      <c r="O97" s="1266">
        <f t="shared" si="14"/>
        <v>14878.445045235767</v>
      </c>
      <c r="P97" s="1267" t="s">
        <v>1295</v>
      </c>
      <c r="Q97" s="1268"/>
      <c r="R97" s="1537"/>
      <c r="S97" s="963">
        <f t="shared" si="12"/>
        <v>14878.447520707708</v>
      </c>
    </row>
    <row r="98" spans="1:29" ht="11.25" customHeight="1">
      <c r="B98" s="1261">
        <v>45800</v>
      </c>
      <c r="C98" s="1238" t="s">
        <v>992</v>
      </c>
      <c r="D98" s="1262"/>
      <c r="E98" s="1262">
        <v>51</v>
      </c>
      <c r="F98" s="1269" t="s">
        <v>107</v>
      </c>
      <c r="G98" s="1270"/>
      <c r="H98" s="1263"/>
      <c r="I98" s="1271"/>
      <c r="J98" s="1263"/>
      <c r="K98" s="1235">
        <v>1100</v>
      </c>
      <c r="L98" s="1265">
        <f>'통장내역(환율표)'!$D$279</f>
        <v>7.1803000104460457</v>
      </c>
      <c r="M98" s="1247">
        <f t="shared" si="11"/>
        <v>153.19694140909124</v>
      </c>
      <c r="N98" s="1266">
        <f t="shared" si="13"/>
        <v>105705.08000000112</v>
      </c>
      <c r="O98" s="1266">
        <f t="shared" si="14"/>
        <v>14725.248103826676</v>
      </c>
      <c r="P98" s="1267" t="s">
        <v>1295</v>
      </c>
      <c r="Q98" s="1268"/>
      <c r="R98" s="1537"/>
      <c r="S98" s="963">
        <f t="shared" si="12"/>
        <v>14725.250579298618</v>
      </c>
    </row>
    <row r="99" spans="1:29" ht="11.25" customHeight="1">
      <c r="B99" s="1261">
        <v>45800</v>
      </c>
      <c r="C99" s="1238" t="s">
        <v>898</v>
      </c>
      <c r="D99" s="1262"/>
      <c r="E99" s="1262">
        <v>51</v>
      </c>
      <c r="F99" s="1269" t="s">
        <v>107</v>
      </c>
      <c r="G99" s="1270"/>
      <c r="H99" s="1263"/>
      <c r="I99" s="1271"/>
      <c r="J99" s="1263"/>
      <c r="K99" s="1235">
        <v>25750</v>
      </c>
      <c r="L99" s="1265">
        <f>'통장내역(환율표)'!$D$279</f>
        <v>7.1803000104460457</v>
      </c>
      <c r="M99" s="1247">
        <f t="shared" si="11"/>
        <v>3586.2011284400901</v>
      </c>
      <c r="N99" s="1266">
        <f t="shared" si="13"/>
        <v>79955.080000001122</v>
      </c>
      <c r="O99" s="1266">
        <f t="shared" si="14"/>
        <v>11139.046975386585</v>
      </c>
      <c r="P99" s="1267" t="s">
        <v>1295</v>
      </c>
      <c r="Q99" s="1268"/>
      <c r="R99" s="1536" t="s">
        <v>1467</v>
      </c>
      <c r="S99" s="963">
        <f t="shared" si="12"/>
        <v>11139.049450858527</v>
      </c>
    </row>
    <row r="100" spans="1:29" ht="11.25" customHeight="1">
      <c r="B100" s="1261">
        <v>45800</v>
      </c>
      <c r="C100" s="1238" t="s">
        <v>1118</v>
      </c>
      <c r="D100" s="1262"/>
      <c r="E100" s="1262">
        <v>51</v>
      </c>
      <c r="F100" s="1269" t="s">
        <v>107</v>
      </c>
      <c r="G100" s="1270"/>
      <c r="H100" s="1263"/>
      <c r="I100" s="1271"/>
      <c r="J100" s="1263"/>
      <c r="K100" s="1235">
        <v>1000</v>
      </c>
      <c r="L100" s="1265">
        <f>'통장내역(환율표)'!$D$279</f>
        <v>7.1803000104460457</v>
      </c>
      <c r="M100" s="1247">
        <f t="shared" si="11"/>
        <v>139.26994673553747</v>
      </c>
      <c r="N100" s="1266">
        <f t="shared" si="13"/>
        <v>78955.080000001122</v>
      </c>
      <c r="O100" s="1266">
        <f t="shared" si="14"/>
        <v>10999.777028651048</v>
      </c>
      <c r="P100" s="1267" t="s">
        <v>1295</v>
      </c>
      <c r="Q100" s="1268"/>
      <c r="R100" s="1536"/>
      <c r="S100" s="963">
        <f t="shared" si="12"/>
        <v>10999.779504122989</v>
      </c>
    </row>
    <row r="101" spans="1:29" ht="11.25" customHeight="1">
      <c r="B101" s="1261">
        <v>45800</v>
      </c>
      <c r="C101" s="1238" t="s">
        <v>948</v>
      </c>
      <c r="D101" s="1262"/>
      <c r="E101" s="1262">
        <v>51</v>
      </c>
      <c r="F101" s="1269" t="s">
        <v>107</v>
      </c>
      <c r="G101" s="1270"/>
      <c r="H101" s="1263"/>
      <c r="I101" s="1271"/>
      <c r="J101" s="1263"/>
      <c r="K101" s="1236">
        <v>7431.44</v>
      </c>
      <c r="L101" s="1265">
        <f>'통장내역(환율표)'!$D$279</f>
        <v>7.1803000104460457</v>
      </c>
      <c r="M101" s="1247">
        <f t="shared" si="11"/>
        <v>1034.9762529683426</v>
      </c>
      <c r="N101" s="1266">
        <f t="shared" si="13"/>
        <v>71523.64000000112</v>
      </c>
      <c r="O101" s="1266">
        <f t="shared" si="14"/>
        <v>9964.8007756827046</v>
      </c>
      <c r="P101" s="1267" t="s">
        <v>1295</v>
      </c>
      <c r="Q101" s="1268"/>
      <c r="R101" s="1537"/>
      <c r="S101" s="963">
        <f t="shared" si="12"/>
        <v>9964.8032511546462</v>
      </c>
    </row>
    <row r="102" spans="1:29" ht="11.25" customHeight="1">
      <c r="B102" s="1261">
        <v>45800</v>
      </c>
      <c r="C102" s="1238" t="s">
        <v>899</v>
      </c>
      <c r="D102" s="1262"/>
      <c r="E102" s="1262">
        <v>51</v>
      </c>
      <c r="F102" s="1269" t="s">
        <v>107</v>
      </c>
      <c r="G102" s="1270"/>
      <c r="H102" s="1263"/>
      <c r="I102" s="1271"/>
      <c r="J102" s="1263"/>
      <c r="K102" s="1236">
        <v>300</v>
      </c>
      <c r="L102" s="1265">
        <f>'통장내역(환율표)'!$D$279</f>
        <v>7.1803000104460457</v>
      </c>
      <c r="M102" s="1247">
        <f t="shared" si="11"/>
        <v>41.780984020661244</v>
      </c>
      <c r="N102" s="1266">
        <f t="shared" si="13"/>
        <v>71223.64000000112</v>
      </c>
      <c r="O102" s="1266">
        <f t="shared" si="14"/>
        <v>9923.0197916620436</v>
      </c>
      <c r="P102" s="1267" t="s">
        <v>1295</v>
      </c>
      <c r="Q102" s="1268"/>
      <c r="R102" s="1537"/>
      <c r="S102" s="963">
        <f t="shared" si="12"/>
        <v>9923.0222671339852</v>
      </c>
    </row>
    <row r="103" spans="1:29" ht="11.25" customHeight="1">
      <c r="B103" s="1261">
        <v>45800</v>
      </c>
      <c r="C103" s="1238" t="s">
        <v>898</v>
      </c>
      <c r="D103" s="1262"/>
      <c r="E103" s="1262">
        <v>51</v>
      </c>
      <c r="F103" s="1269" t="s">
        <v>107</v>
      </c>
      <c r="G103" s="1270"/>
      <c r="H103" s="1263"/>
      <c r="I103" s="1271"/>
      <c r="J103" s="1263"/>
      <c r="K103" s="1237">
        <v>21300</v>
      </c>
      <c r="L103" s="1265">
        <f>'통장내역(환율표)'!$D$279</f>
        <v>7.1803000104460457</v>
      </c>
      <c r="M103" s="1247">
        <f t="shared" si="11"/>
        <v>2966.4498654669483</v>
      </c>
      <c r="N103" s="1266">
        <f t="shared" si="13"/>
        <v>49923.64000000112</v>
      </c>
      <c r="O103" s="1266">
        <f t="shared" si="14"/>
        <v>6956.5699261950958</v>
      </c>
      <c r="P103" s="1267" t="s">
        <v>1295</v>
      </c>
      <c r="Q103" s="1268"/>
      <c r="R103" s="1536" t="s">
        <v>1468</v>
      </c>
      <c r="S103" s="963">
        <f t="shared" si="12"/>
        <v>6956.5724016670374</v>
      </c>
    </row>
    <row r="104" spans="1:29" ht="11.25" customHeight="1">
      <c r="B104" s="1261">
        <v>45800</v>
      </c>
      <c r="C104" s="1238" t="s">
        <v>1118</v>
      </c>
      <c r="D104" s="1262"/>
      <c r="E104" s="1262">
        <v>51</v>
      </c>
      <c r="F104" s="1269" t="s">
        <v>107</v>
      </c>
      <c r="G104" s="1270"/>
      <c r="H104" s="1263"/>
      <c r="I104" s="1271"/>
      <c r="J104" s="1263"/>
      <c r="K104" s="1237">
        <v>1000</v>
      </c>
      <c r="L104" s="1265">
        <f>'통장내역(환율표)'!$D$279</f>
        <v>7.1803000104460457</v>
      </c>
      <c r="M104" s="1247">
        <f t="shared" si="11"/>
        <v>139.26994673553747</v>
      </c>
      <c r="N104" s="1266">
        <f t="shared" si="13"/>
        <v>48923.64000000112</v>
      </c>
      <c r="O104" s="1266">
        <f t="shared" si="14"/>
        <v>6817.299979459558</v>
      </c>
      <c r="P104" s="1267" t="s">
        <v>1295</v>
      </c>
      <c r="Q104" s="1268"/>
      <c r="R104" s="1536"/>
      <c r="S104" s="963">
        <f t="shared" si="12"/>
        <v>6817.3024549314996</v>
      </c>
    </row>
    <row r="105" spans="1:29" s="559" customFormat="1" ht="11.25" customHeight="1">
      <c r="A105" s="614"/>
      <c r="B105" s="1261">
        <v>45800</v>
      </c>
      <c r="C105" s="1238" t="s">
        <v>948</v>
      </c>
      <c r="D105" s="1262"/>
      <c r="E105" s="1262">
        <v>51</v>
      </c>
      <c r="F105" s="1269" t="s">
        <v>107</v>
      </c>
      <c r="G105" s="1270"/>
      <c r="H105" s="1263"/>
      <c r="I105" s="1271"/>
      <c r="J105" s="1263"/>
      <c r="K105" s="1281">
        <v>5941.29</v>
      </c>
      <c r="L105" s="1265">
        <f>'통장내역(환율표)'!$D$279</f>
        <v>7.1803000104460457</v>
      </c>
      <c r="M105" s="1247">
        <v>827.44399999999996</v>
      </c>
      <c r="N105" s="1266">
        <f t="shared" si="13"/>
        <v>42982.350000001119</v>
      </c>
      <c r="O105" s="1266">
        <f t="shared" si="14"/>
        <v>5989.8559794595585</v>
      </c>
      <c r="P105" s="1267" t="s">
        <v>1295</v>
      </c>
      <c r="Q105" s="1268"/>
      <c r="R105" s="1537"/>
      <c r="S105" s="963">
        <f t="shared" si="12"/>
        <v>5989.8584549315001</v>
      </c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1261">
        <v>45800</v>
      </c>
      <c r="C106" s="1238" t="s">
        <v>899</v>
      </c>
      <c r="D106" s="1262"/>
      <c r="E106" s="1262">
        <v>51</v>
      </c>
      <c r="F106" s="1269" t="s">
        <v>107</v>
      </c>
      <c r="G106" s="1270"/>
      <c r="H106" s="1263"/>
      <c r="I106" s="1271"/>
      <c r="J106" s="1263"/>
      <c r="K106" s="1281">
        <v>300</v>
      </c>
      <c r="L106" s="1265">
        <f>'통장내역(환율표)'!$D$279</f>
        <v>7.1803000104460457</v>
      </c>
      <c r="M106" s="1247">
        <f t="shared" si="11"/>
        <v>41.780984020661244</v>
      </c>
      <c r="N106" s="1266">
        <f t="shared" si="13"/>
        <v>42682.350000001119</v>
      </c>
      <c r="O106" s="1266">
        <f t="shared" si="14"/>
        <v>5948.0749954388975</v>
      </c>
      <c r="P106" s="1267" t="s">
        <v>1295</v>
      </c>
      <c r="Q106" s="1268"/>
      <c r="R106" s="1537"/>
      <c r="S106" s="963">
        <f t="shared" si="12"/>
        <v>5948.0774709108391</v>
      </c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1261">
        <v>45800</v>
      </c>
      <c r="C107" s="1238" t="s">
        <v>992</v>
      </c>
      <c r="D107" s="1262"/>
      <c r="E107" s="1262">
        <v>51</v>
      </c>
      <c r="F107" s="1269" t="s">
        <v>107</v>
      </c>
      <c r="G107" s="1270"/>
      <c r="H107" s="1263"/>
      <c r="I107" s="1271"/>
      <c r="J107" s="1263"/>
      <c r="K107" s="1281">
        <v>200</v>
      </c>
      <c r="L107" s="1265">
        <f>'통장내역(환율표)'!$D$279</f>
        <v>7.1803000104460457</v>
      </c>
      <c r="M107" s="1247">
        <f t="shared" si="11"/>
        <v>27.853989347107497</v>
      </c>
      <c r="N107" s="1266">
        <f t="shared" si="13"/>
        <v>42482.350000001119</v>
      </c>
      <c r="O107" s="1266">
        <f t="shared" si="14"/>
        <v>5920.2210060917896</v>
      </c>
      <c r="P107" s="1267" t="s">
        <v>1295</v>
      </c>
      <c r="Q107" s="1268"/>
      <c r="R107" s="1537"/>
      <c r="S107" s="963">
        <f t="shared" si="12"/>
        <v>5920.2234815637312</v>
      </c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1261">
        <v>45800</v>
      </c>
      <c r="C108" s="1238" t="s">
        <v>250</v>
      </c>
      <c r="D108" s="1262"/>
      <c r="E108" s="1282">
        <v>52</v>
      </c>
      <c r="F108" s="1269" t="s">
        <v>107</v>
      </c>
      <c r="G108" s="1270"/>
      <c r="H108" s="1263"/>
      <c r="I108" s="1271"/>
      <c r="J108" s="1263"/>
      <c r="K108" s="1283">
        <v>12</v>
      </c>
      <c r="L108" s="1265">
        <f>'통장내역(환율표)'!$D$279</f>
        <v>7.1803000104460457</v>
      </c>
      <c r="M108" s="1285">
        <f t="shared" si="11"/>
        <v>1.6712393608264497</v>
      </c>
      <c r="N108" s="1266">
        <f t="shared" si="13"/>
        <v>42470.350000001119</v>
      </c>
      <c r="O108" s="1266">
        <f t="shared" si="14"/>
        <v>5918.5497667309628</v>
      </c>
      <c r="P108" s="1267" t="s">
        <v>1295</v>
      </c>
      <c r="Q108" s="1268"/>
      <c r="R108" s="1238"/>
      <c r="S108" s="963">
        <f t="shared" si="12"/>
        <v>5918.5522422029044</v>
      </c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  <row r="109" spans="1:29" s="559" customFormat="1" ht="11.25" customHeight="1">
      <c r="A109" s="614"/>
      <c r="B109" s="1261">
        <v>45800</v>
      </c>
      <c r="C109" s="1238" t="s">
        <v>1475</v>
      </c>
      <c r="D109" s="1262"/>
      <c r="E109" s="1262">
        <v>53</v>
      </c>
      <c r="F109" s="1269" t="s">
        <v>146</v>
      </c>
      <c r="G109" s="1270" t="s">
        <v>147</v>
      </c>
      <c r="H109" s="1263"/>
      <c r="I109" s="1271"/>
      <c r="J109" s="1263"/>
      <c r="K109" s="1283">
        <v>800</v>
      </c>
      <c r="L109" s="1265">
        <f>'통장내역(환율표)'!$D$279</f>
        <v>7.1803000104460457</v>
      </c>
      <c r="M109" s="1247">
        <v>111.41800000000001</v>
      </c>
      <c r="N109" s="1266">
        <f t="shared" si="13"/>
        <v>41670.350000001119</v>
      </c>
      <c r="O109" s="1266">
        <f t="shared" si="14"/>
        <v>5807.1317667309631</v>
      </c>
      <c r="P109" s="1267" t="s">
        <v>1295</v>
      </c>
      <c r="Q109" s="1268"/>
      <c r="R109" s="1238" t="s">
        <v>1475</v>
      </c>
      <c r="S109" s="963">
        <f t="shared" si="12"/>
        <v>5807.1342422029047</v>
      </c>
      <c r="T109" s="531"/>
      <c r="U109" s="645"/>
      <c r="V109" s="531"/>
      <c r="W109" s="531"/>
      <c r="X109" s="531"/>
      <c r="Y109" s="531"/>
      <c r="Z109" s="531"/>
      <c r="AA109" s="531"/>
      <c r="AB109" s="531"/>
      <c r="AC109" s="531"/>
    </row>
    <row r="110" spans="1:29" s="559" customFormat="1" ht="11.25" customHeight="1">
      <c r="A110" s="614"/>
      <c r="B110" s="1261">
        <v>45800</v>
      </c>
      <c r="C110" s="1272" t="s">
        <v>250</v>
      </c>
      <c r="D110" s="1262"/>
      <c r="E110" s="1262">
        <v>54</v>
      </c>
      <c r="F110" s="1269" t="s">
        <v>107</v>
      </c>
      <c r="G110" s="1270"/>
      <c r="H110" s="1263"/>
      <c r="I110" s="1271"/>
      <c r="J110" s="1263"/>
      <c r="K110" s="1280">
        <v>3.6</v>
      </c>
      <c r="L110" s="1265">
        <f>'통장내역(환율표)'!$D$279</f>
        <v>7.1803000104460457</v>
      </c>
      <c r="M110" s="1247">
        <f>K110/L110</f>
        <v>0.50137180824793492</v>
      </c>
      <c r="N110" s="1286">
        <f t="shared" si="13"/>
        <v>41666.75000000112</v>
      </c>
      <c r="O110" s="1286">
        <f t="shared" si="14"/>
        <v>5806.6303949227149</v>
      </c>
      <c r="P110" s="1267" t="s">
        <v>1295</v>
      </c>
      <c r="Q110" s="1268"/>
      <c r="R110" s="1275"/>
      <c r="S110" s="980">
        <f t="shared" si="12"/>
        <v>5806.6328703946565</v>
      </c>
      <c r="T110" s="531"/>
      <c r="U110" s="645"/>
      <c r="V110" s="531"/>
      <c r="W110" s="531"/>
      <c r="X110" s="531"/>
      <c r="Y110" s="531"/>
      <c r="Z110" s="531"/>
      <c r="AA110" s="531"/>
      <c r="AB110" s="531"/>
      <c r="AC110" s="531"/>
    </row>
    <row r="111" spans="1:29" ht="11.25" customHeight="1">
      <c r="C111" s="531"/>
      <c r="M111" s="932"/>
    </row>
    <row r="112" spans="1:29" ht="11.25" customHeight="1">
      <c r="M112" s="932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1"/>
    </sortState>
  </autoFilter>
  <mergeCells count="11">
    <mergeCell ref="H17:J17"/>
    <mergeCell ref="K17:M17"/>
    <mergeCell ref="N17:O17"/>
    <mergeCell ref="P17:Q17"/>
    <mergeCell ref="P18:Q18"/>
    <mergeCell ref="R103:R107"/>
    <mergeCell ref="R79:R83"/>
    <mergeCell ref="R84:R88"/>
    <mergeCell ref="R89:R93"/>
    <mergeCell ref="R94:R98"/>
    <mergeCell ref="R99:R102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FC000"/>
  </sheetPr>
  <dimension ref="A1:AA90"/>
  <sheetViews>
    <sheetView showGridLines="0" tabSelected="1" zoomScaleNormal="100" workbookViewId="0">
      <pane ySplit="19" topLeftCell="A20" activePane="bottomLeft" state="frozen"/>
      <selection activeCell="G119" sqref="G119"/>
      <selection pane="bottomLeft" activeCell="G26" sqref="G26"/>
    </sheetView>
  </sheetViews>
  <sheetFormatPr defaultColWidth="9" defaultRowHeight="11.25" customHeight="1"/>
  <cols>
    <col min="1" max="1" width="1.75" style="1323" customWidth="1"/>
    <col min="2" max="2" width="10.5" style="1390" customWidth="1"/>
    <col min="3" max="3" width="24" style="1325" customWidth="1"/>
    <col min="4" max="4" width="15.75" style="1322" customWidth="1"/>
    <col min="5" max="5" width="8.5" style="1322" customWidth="1"/>
    <col min="6" max="6" width="15.125" style="1322" customWidth="1"/>
    <col min="7" max="7" width="9.875" style="1327" customWidth="1"/>
    <col min="8" max="8" width="9.75" style="1322" customWidth="1"/>
    <col min="9" max="9" width="9.875" style="1322" customWidth="1"/>
    <col min="10" max="10" width="10.5" style="1327" customWidth="1"/>
    <col min="11" max="11" width="11" style="1388" customWidth="1"/>
    <col min="12" max="12" width="11.125" style="1322" customWidth="1"/>
    <col min="13" max="13" width="9.75" style="1322" customWidth="1"/>
    <col min="14" max="14" width="12.375" style="1322" customWidth="1"/>
    <col min="15" max="15" width="9.875" style="1322" customWidth="1"/>
    <col min="16" max="16" width="10.75" style="1322" customWidth="1"/>
    <col min="17" max="17" width="9.625" style="1322" customWidth="1"/>
    <col min="18" max="18" width="31.5" style="1327" customWidth="1"/>
    <col min="19" max="19" width="10.5" style="1334" bestFit="1" customWidth="1"/>
    <col min="20" max="16384" width="9" style="1322"/>
  </cols>
  <sheetData>
    <row r="1" spans="1:27" ht="18" customHeight="1">
      <c r="A1" s="1309"/>
      <c r="B1" s="1310"/>
      <c r="C1" s="1311"/>
      <c r="D1" s="1312"/>
      <c r="E1" s="1313"/>
      <c r="F1" s="1313"/>
      <c r="G1" s="1314"/>
      <c r="H1" s="1313"/>
      <c r="I1" s="1313"/>
      <c r="J1" s="1315"/>
      <c r="K1" s="1316"/>
      <c r="L1" s="1317"/>
      <c r="M1" s="1318"/>
      <c r="N1" s="1318"/>
      <c r="O1" s="1312"/>
      <c r="P1" s="1319"/>
      <c r="Q1" s="1319"/>
      <c r="R1" s="1320"/>
      <c r="S1" s="1321"/>
    </row>
    <row r="2" spans="1:27" ht="15" customHeight="1">
      <c r="B2" s="1324" t="s">
        <v>1521</v>
      </c>
      <c r="D2" s="1325"/>
      <c r="F2" s="1326"/>
      <c r="G2" s="1327" t="s">
        <v>1056</v>
      </c>
      <c r="H2" s="1328" t="s">
        <v>1424</v>
      </c>
      <c r="I2" s="1329"/>
      <c r="J2" s="1329"/>
      <c r="K2" s="1330"/>
      <c r="L2" s="1329"/>
      <c r="M2" s="1329"/>
      <c r="N2" s="1331"/>
      <c r="O2" s="1332"/>
      <c r="Q2" s="1333"/>
    </row>
    <row r="3" spans="1:27" s="1340" customFormat="1" ht="11.25" customHeight="1">
      <c r="A3" s="1335"/>
      <c r="B3" s="1336" t="s">
        <v>1496</v>
      </c>
      <c r="C3" s="1337"/>
      <c r="D3" s="1337"/>
      <c r="E3" s="1444"/>
      <c r="F3" s="1338">
        <v>1405.6</v>
      </c>
      <c r="G3" s="1339"/>
      <c r="H3" s="1336" t="s">
        <v>1497</v>
      </c>
      <c r="I3" s="1337"/>
      <c r="K3" s="1341"/>
      <c r="L3" s="1338">
        <v>1358.9</v>
      </c>
      <c r="Q3" s="1336"/>
      <c r="R3" s="1336"/>
      <c r="T3" s="1336"/>
      <c r="U3" s="1342"/>
      <c r="V3" s="1343">
        <v>1327.2</v>
      </c>
    </row>
    <row r="4" spans="1:27" ht="11.25" customHeight="1">
      <c r="A4" s="1309"/>
      <c r="B4" s="1344" t="s">
        <v>1</v>
      </c>
      <c r="C4" s="1345" t="s">
        <v>2</v>
      </c>
      <c r="D4" s="1346" t="s">
        <v>1058</v>
      </c>
      <c r="E4" s="1445" t="s">
        <v>1059</v>
      </c>
      <c r="F4" s="1347" t="s">
        <v>1060</v>
      </c>
      <c r="H4" s="1344" t="s">
        <v>1</v>
      </c>
      <c r="I4" s="1346" t="s">
        <v>2</v>
      </c>
      <c r="J4" s="1348" t="s">
        <v>1058</v>
      </c>
      <c r="K4" s="1349" t="s">
        <v>1059</v>
      </c>
      <c r="L4" s="1347" t="s">
        <v>1060</v>
      </c>
      <c r="M4" s="1340"/>
      <c r="N4" s="1340"/>
      <c r="O4" s="1340"/>
      <c r="P4" s="1340"/>
      <c r="Q4" s="1336"/>
      <c r="R4" s="1336"/>
    </row>
    <row r="5" spans="1:27" ht="11.25" hidden="1" customHeight="1">
      <c r="A5" s="1334">
        <v>51131050</v>
      </c>
      <c r="B5" s="1350" t="s">
        <v>1061</v>
      </c>
      <c r="C5" s="1351" t="s">
        <v>12</v>
      </c>
      <c r="D5" s="1352"/>
      <c r="E5" s="1446"/>
      <c r="F5" s="1353">
        <f>ROUND(E5*$F$3,0)</f>
        <v>0</v>
      </c>
      <c r="G5" s="1354"/>
      <c r="H5" s="1355" t="s">
        <v>11</v>
      </c>
      <c r="I5" s="1355" t="s">
        <v>12</v>
      </c>
      <c r="J5" s="1356"/>
      <c r="K5" s="1357"/>
      <c r="L5" s="1358">
        <f>ROUND(K5*$L$3,0)</f>
        <v>0</v>
      </c>
      <c r="M5" s="1340"/>
      <c r="N5" s="1340"/>
      <c r="O5" s="1340"/>
      <c r="P5" s="1340"/>
      <c r="Q5" s="1336"/>
      <c r="R5" s="1336"/>
      <c r="S5" s="1359">
        <f>F5+L5+R5</f>
        <v>0</v>
      </c>
    </row>
    <row r="6" spans="1:27" ht="11.25" hidden="1" customHeight="1">
      <c r="A6" s="1334">
        <v>51061030</v>
      </c>
      <c r="B6" s="1350" t="s">
        <v>1062</v>
      </c>
      <c r="C6" s="1351" t="s">
        <v>1063</v>
      </c>
      <c r="D6" s="1352"/>
      <c r="E6" s="1447"/>
      <c r="F6" s="1353">
        <f t="shared" ref="F6:F12" si="0">ROUND(E6*$F$3,0)</f>
        <v>0</v>
      </c>
      <c r="G6" s="1360"/>
      <c r="H6" s="1355" t="s">
        <v>13</v>
      </c>
      <c r="I6" s="1355" t="s">
        <v>14</v>
      </c>
      <c r="J6" s="1356"/>
      <c r="K6" s="1357"/>
      <c r="L6" s="1358">
        <f t="shared" ref="L6:L12" si="1">ROUND(K6*$L$3,0)</f>
        <v>0</v>
      </c>
      <c r="M6" s="1340"/>
      <c r="N6" s="1340"/>
      <c r="O6" s="1340"/>
      <c r="P6" s="1340"/>
      <c r="Q6" s="1336"/>
      <c r="R6" s="1336"/>
      <c r="S6" s="1359">
        <f>F6+L6+R6</f>
        <v>0</v>
      </c>
      <c r="Z6" s="1329"/>
      <c r="AA6" s="1327"/>
    </row>
    <row r="7" spans="1:27" ht="11.25" hidden="1" customHeight="1">
      <c r="A7" s="1334">
        <v>51201020</v>
      </c>
      <c r="B7" s="1350" t="s">
        <v>15</v>
      </c>
      <c r="C7" s="1351" t="s">
        <v>180</v>
      </c>
      <c r="D7" s="1352"/>
      <c r="E7" s="1447"/>
      <c r="F7" s="1353">
        <f t="shared" si="0"/>
        <v>0</v>
      </c>
      <c r="G7" s="1361"/>
      <c r="H7" s="1355" t="s">
        <v>15</v>
      </c>
      <c r="I7" s="1355" t="s">
        <v>1064</v>
      </c>
      <c r="J7" s="1362"/>
      <c r="K7" s="1363"/>
      <c r="L7" s="1358">
        <f t="shared" si="1"/>
        <v>0</v>
      </c>
      <c r="M7" s="1340"/>
      <c r="N7" s="1340"/>
      <c r="O7" s="1340"/>
      <c r="P7" s="1340"/>
      <c r="Q7" s="1336"/>
      <c r="R7" s="1336"/>
      <c r="S7" s="1359">
        <f>F7+L7+R7</f>
        <v>0</v>
      </c>
    </row>
    <row r="8" spans="1:27" ht="12.95" hidden="1" customHeight="1">
      <c r="A8" s="1334">
        <v>51201030</v>
      </c>
      <c r="B8" s="1350" t="s">
        <v>1065</v>
      </c>
      <c r="C8" s="1351" t="s">
        <v>17</v>
      </c>
      <c r="D8" s="1352"/>
      <c r="E8" s="1447"/>
      <c r="F8" s="1353">
        <f t="shared" si="0"/>
        <v>0</v>
      </c>
      <c r="G8" s="1361"/>
      <c r="H8" s="1355" t="s">
        <v>15</v>
      </c>
      <c r="I8" s="1351" t="s">
        <v>17</v>
      </c>
      <c r="J8" s="1362"/>
      <c r="K8" s="1363"/>
      <c r="L8" s="1358">
        <f t="shared" si="1"/>
        <v>0</v>
      </c>
      <c r="M8" s="1340"/>
      <c r="N8" s="1340"/>
      <c r="O8" s="1340"/>
      <c r="P8" s="1340"/>
      <c r="Q8" s="1336"/>
      <c r="R8" s="1336"/>
      <c r="S8" s="1359">
        <f>F8+L8+R8</f>
        <v>0</v>
      </c>
    </row>
    <row r="9" spans="1:27" ht="11.25" hidden="1" customHeight="1">
      <c r="A9" s="1334">
        <v>51071700</v>
      </c>
      <c r="B9" s="1350" t="s">
        <v>19</v>
      </c>
      <c r="C9" s="1351" t="s">
        <v>20</v>
      </c>
      <c r="D9" s="1352"/>
      <c r="E9" s="1447"/>
      <c r="F9" s="1353">
        <f t="shared" si="0"/>
        <v>0</v>
      </c>
      <c r="G9" s="1364"/>
      <c r="H9" s="1355" t="s">
        <v>19</v>
      </c>
      <c r="I9" s="1351" t="s">
        <v>20</v>
      </c>
      <c r="J9" s="1362"/>
      <c r="K9" s="1363"/>
      <c r="L9" s="1358">
        <f t="shared" si="1"/>
        <v>0</v>
      </c>
      <c r="M9" s="1340"/>
      <c r="N9" s="1340"/>
      <c r="O9" s="1340"/>
      <c r="P9" s="1340"/>
      <c r="Q9" s="1336"/>
      <c r="R9" s="1336"/>
      <c r="S9" s="1359"/>
    </row>
    <row r="10" spans="1:27" ht="11.25" hidden="1" customHeight="1">
      <c r="A10" s="1334">
        <v>51321010</v>
      </c>
      <c r="B10" s="1350" t="s">
        <v>21</v>
      </c>
      <c r="C10" s="1351"/>
      <c r="D10" s="1352"/>
      <c r="E10" s="1447"/>
      <c r="F10" s="1353">
        <f t="shared" si="0"/>
        <v>0</v>
      </c>
      <c r="G10" s="1365"/>
      <c r="H10" s="1355" t="s">
        <v>21</v>
      </c>
      <c r="I10" s="1355"/>
      <c r="J10" s="1356"/>
      <c r="K10" s="1357"/>
      <c r="L10" s="1358">
        <f t="shared" si="1"/>
        <v>0</v>
      </c>
      <c r="M10" s="1340"/>
      <c r="N10" s="1340"/>
      <c r="O10" s="1340"/>
      <c r="P10" s="1340"/>
      <c r="Q10" s="1336"/>
      <c r="R10" s="1336"/>
      <c r="S10" s="1359"/>
      <c r="Z10" s="1329"/>
      <c r="AA10" s="1327"/>
    </row>
    <row r="11" spans="1:27" ht="11.25" hidden="1" customHeight="1">
      <c r="A11" s="1334">
        <v>51031020</v>
      </c>
      <c r="B11" s="1366" t="s">
        <v>1066</v>
      </c>
      <c r="C11" s="1367" t="s">
        <v>1067</v>
      </c>
      <c r="D11" s="1366"/>
      <c r="E11" s="1366"/>
      <c r="F11" s="1368"/>
      <c r="G11" s="1369" t="e">
        <f>G13/G12</f>
        <v>#REF!</v>
      </c>
      <c r="H11" s="1366" t="s">
        <v>1066</v>
      </c>
      <c r="I11" s="1366" t="s">
        <v>1294</v>
      </c>
      <c r="J11" s="1370"/>
      <c r="K11" s="1371"/>
      <c r="L11" s="1372">
        <f t="shared" si="1"/>
        <v>0</v>
      </c>
      <c r="M11" s="1340"/>
      <c r="N11" s="1340"/>
      <c r="O11" s="1340"/>
      <c r="P11" s="1340"/>
      <c r="Q11" s="1373"/>
      <c r="R11" s="1336"/>
      <c r="S11" s="1359"/>
      <c r="Z11" s="1329"/>
      <c r="AA11" s="1327"/>
    </row>
    <row r="12" spans="1:27" ht="11.25" hidden="1" customHeight="1">
      <c r="A12" s="1334">
        <v>52981010</v>
      </c>
      <c r="B12" s="1355" t="s">
        <v>1491</v>
      </c>
      <c r="C12" s="1351" t="s">
        <v>1069</v>
      </c>
      <c r="D12" s="1374"/>
      <c r="E12" s="1447"/>
      <c r="F12" s="1353">
        <f t="shared" si="0"/>
        <v>0</v>
      </c>
      <c r="G12" s="1375">
        <f>E13+R13+Z13</f>
        <v>0</v>
      </c>
      <c r="H12" s="1355" t="s">
        <v>1491</v>
      </c>
      <c r="I12" s="1355" t="s">
        <v>1069</v>
      </c>
      <c r="J12" s="1376">
        <v>58.9</v>
      </c>
      <c r="K12" s="1377">
        <v>8.2100000000000009</v>
      </c>
      <c r="L12" s="1358">
        <f t="shared" si="1"/>
        <v>11157</v>
      </c>
      <c r="M12" s="1340"/>
      <c r="N12" s="1340"/>
      <c r="O12" s="1340"/>
      <c r="P12" s="1340"/>
      <c r="Q12" s="1373"/>
      <c r="R12" s="1336"/>
      <c r="S12" s="1359"/>
      <c r="Z12" s="1329"/>
      <c r="AA12" s="1327"/>
    </row>
    <row r="13" spans="1:27" s="1327" customFormat="1" ht="8.4499999999999993" customHeight="1">
      <c r="A13" s="1378"/>
      <c r="B13" s="1379" t="s">
        <v>22</v>
      </c>
      <c r="C13" s="1380"/>
      <c r="D13" s="1381">
        <f>SUM(D5:D11)-D12</f>
        <v>0</v>
      </c>
      <c r="E13" s="1382">
        <f>SUM(E5:E11)-E12</f>
        <v>0</v>
      </c>
      <c r="F13" s="1383">
        <f>SUM(F5:F11)-F12</f>
        <v>0</v>
      </c>
      <c r="G13" s="1384" t="e">
        <f>F13+#REF!+AA13</f>
        <v>#REF!</v>
      </c>
      <c r="H13" s="1379" t="s">
        <v>22</v>
      </c>
      <c r="I13" s="1385"/>
      <c r="J13" s="1381">
        <f>SUM(J5:J11)-J12</f>
        <v>-58.9</v>
      </c>
      <c r="K13" s="1349">
        <f>SUM(K5:K11)-K12</f>
        <v>-8.2100000000000009</v>
      </c>
      <c r="L13" s="1383">
        <f>SUM(L5:L11)-L12</f>
        <v>-11157</v>
      </c>
      <c r="M13" s="1340"/>
      <c r="N13" s="1340"/>
      <c r="O13" s="1340"/>
      <c r="P13" s="1340"/>
      <c r="R13" s="1340"/>
      <c r="S13" s="1359"/>
      <c r="V13" s="1373" t="e">
        <f>F13+#REF!</f>
        <v>#REF!</v>
      </c>
      <c r="W13" s="1387"/>
      <c r="X13" s="1388"/>
      <c r="Z13" s="1389"/>
    </row>
    <row r="14" spans="1:27" ht="8.4499999999999993" customHeight="1">
      <c r="A14" s="1309"/>
      <c r="D14" s="1391"/>
      <c r="E14" s="1448"/>
      <c r="F14" s="1392"/>
      <c r="G14" s="1393"/>
      <c r="J14" s="1394">
        <f>J13+D13+P13</f>
        <v>-58.9</v>
      </c>
      <c r="K14" s="1395">
        <f>K13+E13+R13</f>
        <v>-8.2100000000000009</v>
      </c>
      <c r="L14" s="1396" t="e">
        <f>L13+F13+#REF!</f>
        <v>#REF!</v>
      </c>
      <c r="M14" s="1340"/>
      <c r="N14" s="1340"/>
      <c r="O14" s="1340"/>
      <c r="P14" s="1340"/>
      <c r="Q14" s="1373"/>
      <c r="R14" s="1336"/>
      <c r="V14" s="1329"/>
      <c r="W14" s="1329"/>
      <c r="Z14" s="1329"/>
      <c r="AA14" s="1327"/>
    </row>
    <row r="15" spans="1:27" ht="11.1" customHeight="1">
      <c r="A15" s="1309"/>
      <c r="D15" s="1391"/>
      <c r="E15" s="1448"/>
      <c r="F15" s="1391"/>
      <c r="G15" s="1393"/>
      <c r="J15" s="1397" t="e">
        <f>J16-#REF!</f>
        <v>#REF!</v>
      </c>
      <c r="K15" s="1386"/>
      <c r="L15" s="1397"/>
      <c r="M15" s="1386"/>
      <c r="O15" s="1373"/>
      <c r="P15" s="1373"/>
      <c r="Q15" s="1373"/>
      <c r="R15" s="1398"/>
      <c r="V15" s="1329"/>
      <c r="W15" s="1329"/>
      <c r="Z15" s="1329"/>
      <c r="AA15" s="1327"/>
    </row>
    <row r="16" spans="1:27" ht="11.1" customHeight="1">
      <c r="A16" s="1309"/>
      <c r="D16" s="1325"/>
      <c r="E16" s="1449"/>
      <c r="F16" s="1399"/>
      <c r="G16" s="1393"/>
      <c r="I16" s="1329"/>
      <c r="J16" s="1389"/>
      <c r="K16" s="1400">
        <f>SUBTOTAL(9,K19:K90)</f>
        <v>421422.25000000012</v>
      </c>
      <c r="L16" s="1401"/>
      <c r="M16" s="1400">
        <f>SUBTOTAL(9,M19:M90)</f>
        <v>0</v>
      </c>
      <c r="N16" s="1329"/>
      <c r="Q16" s="1329"/>
    </row>
    <row r="17" spans="1:27" ht="11.45" customHeight="1">
      <c r="A17" s="1309"/>
      <c r="B17" s="1402" t="s">
        <v>24</v>
      </c>
      <c r="C17" s="1403" t="s">
        <v>25</v>
      </c>
      <c r="D17" s="1404" t="s">
        <v>1070</v>
      </c>
      <c r="E17" s="1450" t="s">
        <v>26</v>
      </c>
      <c r="F17" s="1404" t="s">
        <v>1</v>
      </c>
      <c r="G17" s="1405" t="s">
        <v>2</v>
      </c>
      <c r="H17" s="1539" t="s">
        <v>29</v>
      </c>
      <c r="I17" s="1539"/>
      <c r="J17" s="1539"/>
      <c r="K17" s="1539" t="s">
        <v>30</v>
      </c>
      <c r="L17" s="1539"/>
      <c r="M17" s="1540"/>
      <c r="N17" s="1541" t="s">
        <v>31</v>
      </c>
      <c r="O17" s="1541"/>
      <c r="P17" s="1542"/>
      <c r="Q17" s="1542"/>
      <c r="R17" s="1405" t="s">
        <v>1071</v>
      </c>
    </row>
    <row r="18" spans="1:27" ht="11.1" customHeight="1">
      <c r="A18" s="1309"/>
      <c r="B18" s="1407" t="s">
        <v>1072</v>
      </c>
      <c r="C18" s="1408" t="s">
        <v>1073</v>
      </c>
      <c r="D18" s="1409" t="s">
        <v>1074</v>
      </c>
      <c r="E18" s="1451" t="s">
        <v>1075</v>
      </c>
      <c r="F18" s="1410" t="s">
        <v>1076</v>
      </c>
      <c r="G18" s="1411" t="s">
        <v>1077</v>
      </c>
      <c r="H18" s="1412" t="s">
        <v>1078</v>
      </c>
      <c r="I18" s="1412" t="s">
        <v>1079</v>
      </c>
      <c r="J18" s="1413" t="s">
        <v>34</v>
      </c>
      <c r="K18" s="1413" t="s">
        <v>1078</v>
      </c>
      <c r="L18" s="1412" t="s">
        <v>1079</v>
      </c>
      <c r="M18" s="1414" t="s">
        <v>34</v>
      </c>
      <c r="N18" s="1406" t="s">
        <v>1078</v>
      </c>
      <c r="O18" s="1406" t="s">
        <v>34</v>
      </c>
      <c r="P18" s="1543" t="s">
        <v>32</v>
      </c>
      <c r="Q18" s="1543"/>
      <c r="R18" s="1415" t="s">
        <v>1071</v>
      </c>
    </row>
    <row r="19" spans="1:27" s="1619" customFormat="1" ht="11.25" customHeight="1">
      <c r="A19" s="1617"/>
      <c r="B19" s="1416">
        <v>46142</v>
      </c>
      <c r="C19" s="1417"/>
      <c r="D19" s="1418"/>
      <c r="E19" s="1418"/>
      <c r="F19" s="1419"/>
      <c r="G19" s="1420"/>
      <c r="H19" s="1421"/>
      <c r="I19" s="1418"/>
      <c r="J19" s="1420"/>
      <c r="K19" s="1422"/>
      <c r="L19" s="1423"/>
      <c r="M19" s="1424"/>
      <c r="N19" s="1425">
        <v>1045.79</v>
      </c>
      <c r="O19" s="1425">
        <v>0</v>
      </c>
      <c r="P19" s="1426"/>
      <c r="Q19" s="1417"/>
      <c r="R19" s="1420"/>
      <c r="S19" s="1618">
        <v>5806.6328703946565</v>
      </c>
    </row>
    <row r="20" spans="1:27" s="1630" customFormat="1" ht="11.1" customHeight="1">
      <c r="A20" s="1617"/>
      <c r="B20" s="1620">
        <v>46148</v>
      </c>
      <c r="C20" s="1621" t="s">
        <v>1097</v>
      </c>
      <c r="D20" s="1622"/>
      <c r="E20" s="1623">
        <v>1</v>
      </c>
      <c r="F20" s="1624"/>
      <c r="G20" s="1625"/>
      <c r="H20" s="1626">
        <v>35488.17</v>
      </c>
      <c r="I20" s="1626"/>
      <c r="J20" s="1626">
        <v>5226.93</v>
      </c>
      <c r="K20" s="1594"/>
      <c r="L20" s="1595"/>
      <c r="M20" s="1596"/>
      <c r="N20" s="1597">
        <f>N19+H20-K20</f>
        <v>36533.96</v>
      </c>
      <c r="O20" s="1597"/>
      <c r="P20" s="1627"/>
      <c r="Q20" s="1628"/>
      <c r="R20" s="1629"/>
      <c r="S20" s="1600">
        <f>S19-M20+J20</f>
        <v>11033.562870394657</v>
      </c>
      <c r="T20" s="1619"/>
      <c r="U20" s="1619"/>
      <c r="V20" s="1619"/>
      <c r="W20" s="1619"/>
      <c r="X20" s="1619"/>
      <c r="Y20" s="1619"/>
      <c r="Z20" s="1619"/>
      <c r="AA20" s="1619"/>
    </row>
    <row r="21" spans="1:27" s="1607" customFormat="1" ht="11.25" customHeight="1">
      <c r="A21" s="1587"/>
      <c r="B21" s="1588">
        <v>46148</v>
      </c>
      <c r="C21" s="1605" t="s">
        <v>1590</v>
      </c>
      <c r="D21" s="1590" t="s">
        <v>1416</v>
      </c>
      <c r="E21" s="1609">
        <v>2</v>
      </c>
      <c r="F21" s="1592" t="s">
        <v>146</v>
      </c>
      <c r="G21" s="1591" t="s">
        <v>147</v>
      </c>
      <c r="H21" s="1603"/>
      <c r="I21" s="1604"/>
      <c r="J21" s="1604"/>
      <c r="K21" s="1594">
        <v>19434.91</v>
      </c>
      <c r="L21" s="1595"/>
      <c r="M21" s="1596"/>
      <c r="N21" s="1597">
        <f t="shared" ref="N21:N28" si="2">N20+H21-K21</f>
        <v>17099.05</v>
      </c>
      <c r="O21" s="1597"/>
      <c r="P21" s="1615"/>
      <c r="Q21" s="1599"/>
      <c r="R21" s="1616"/>
      <c r="S21" s="1600"/>
      <c r="T21" s="1601"/>
      <c r="U21" s="1601"/>
      <c r="V21" s="1601"/>
      <c r="W21" s="1601"/>
      <c r="X21" s="1601"/>
      <c r="Y21" s="1601"/>
      <c r="Z21" s="1601"/>
      <c r="AA21" s="1601"/>
    </row>
    <row r="22" spans="1:27" s="1607" customFormat="1" ht="11.25" customHeight="1">
      <c r="A22" s="1587"/>
      <c r="B22" s="1588">
        <v>46148</v>
      </c>
      <c r="C22" s="1605" t="s">
        <v>250</v>
      </c>
      <c r="D22" s="1590" t="s">
        <v>1416</v>
      </c>
      <c r="E22" s="1609">
        <v>3</v>
      </c>
      <c r="F22" s="1592" t="s">
        <v>107</v>
      </c>
      <c r="G22" s="1591"/>
      <c r="H22" s="1593"/>
      <c r="I22" s="1593"/>
      <c r="J22" s="1593"/>
      <c r="K22" s="1594">
        <v>7.2</v>
      </c>
      <c r="L22" s="1595"/>
      <c r="M22" s="1596"/>
      <c r="N22" s="1597">
        <f t="shared" si="2"/>
        <v>17091.849999999999</v>
      </c>
      <c r="O22" s="1597"/>
      <c r="P22" s="1615"/>
      <c r="Q22" s="1599"/>
      <c r="R22" s="1616"/>
      <c r="S22" s="1600"/>
      <c r="T22" s="1601"/>
      <c r="U22" s="1601"/>
      <c r="V22" s="1601"/>
      <c r="W22" s="1601"/>
      <c r="X22" s="1601"/>
      <c r="Y22" s="1601"/>
      <c r="Z22" s="1601"/>
      <c r="AA22" s="1601"/>
    </row>
    <row r="23" spans="1:27" s="1607" customFormat="1" ht="11.25" customHeight="1">
      <c r="A23" s="1587"/>
      <c r="B23" s="1588">
        <v>46154</v>
      </c>
      <c r="C23" s="1589" t="s">
        <v>1522</v>
      </c>
      <c r="D23" s="1590"/>
      <c r="E23" s="1609">
        <v>4</v>
      </c>
      <c r="F23" s="1592" t="s">
        <v>105</v>
      </c>
      <c r="G23" s="1591" t="s">
        <v>1131</v>
      </c>
      <c r="H23" s="1593"/>
      <c r="I23" s="1593"/>
      <c r="J23" s="1593"/>
      <c r="K23" s="1594">
        <v>467.76</v>
      </c>
      <c r="L23" s="1595"/>
      <c r="M23" s="1596"/>
      <c r="N23" s="1597">
        <f t="shared" si="2"/>
        <v>16624.09</v>
      </c>
      <c r="O23" s="1597"/>
      <c r="P23" s="1615"/>
      <c r="Q23" s="1599"/>
      <c r="R23" s="1616"/>
      <c r="S23" s="1600"/>
      <c r="T23" s="1601"/>
      <c r="U23" s="1601"/>
      <c r="V23" s="1601"/>
      <c r="W23" s="1601"/>
      <c r="X23" s="1601"/>
      <c r="Y23" s="1601"/>
      <c r="Z23" s="1601"/>
      <c r="AA23" s="1601"/>
    </row>
    <row r="24" spans="1:27" s="1607" customFormat="1" ht="11.25" customHeight="1">
      <c r="A24" s="1587"/>
      <c r="B24" s="1588">
        <v>46154</v>
      </c>
      <c r="C24" s="1612" t="s">
        <v>250</v>
      </c>
      <c r="D24" s="1590"/>
      <c r="E24" s="1609">
        <v>5</v>
      </c>
      <c r="F24" s="1592" t="s">
        <v>107</v>
      </c>
      <c r="G24" s="1591"/>
      <c r="H24" s="1593"/>
      <c r="I24" s="1593"/>
      <c r="J24" s="1593"/>
      <c r="K24" s="1594">
        <v>3.6</v>
      </c>
      <c r="L24" s="1595"/>
      <c r="M24" s="1596"/>
      <c r="N24" s="1597">
        <f t="shared" si="2"/>
        <v>16620.490000000002</v>
      </c>
      <c r="O24" s="1597"/>
      <c r="P24" s="1615"/>
      <c r="Q24" s="1599"/>
      <c r="R24" s="1616"/>
      <c r="S24" s="1600"/>
      <c r="T24" s="1601"/>
      <c r="U24" s="1601"/>
      <c r="V24" s="1601"/>
      <c r="W24" s="1601"/>
      <c r="X24" s="1601"/>
      <c r="Y24" s="1601"/>
      <c r="Z24" s="1601"/>
      <c r="AA24" s="1601"/>
    </row>
    <row r="25" spans="1:27" s="1607" customFormat="1" ht="11.25" customHeight="1">
      <c r="A25" s="1587"/>
      <c r="B25" s="1588">
        <v>46160</v>
      </c>
      <c r="C25" s="1605" t="s">
        <v>1097</v>
      </c>
      <c r="D25" s="1590"/>
      <c r="E25" s="1609">
        <v>6</v>
      </c>
      <c r="F25" s="1592"/>
      <c r="G25" s="1591"/>
      <c r="H25" s="1593">
        <v>402839.03999999998</v>
      </c>
      <c r="I25" s="1593"/>
      <c r="J25" s="1593">
        <v>59269.52</v>
      </c>
      <c r="K25" s="1594"/>
      <c r="L25" s="1595"/>
      <c r="M25" s="1596"/>
      <c r="N25" s="1597">
        <f t="shared" si="2"/>
        <v>419459.52999999997</v>
      </c>
      <c r="O25" s="1597"/>
      <c r="P25" s="1615"/>
      <c r="Q25" s="1599"/>
      <c r="R25" s="1616"/>
      <c r="S25" s="1600"/>
      <c r="T25" s="1601"/>
      <c r="U25" s="1601"/>
      <c r="V25" s="1601"/>
      <c r="W25" s="1601"/>
      <c r="X25" s="1601"/>
      <c r="Y25" s="1601"/>
      <c r="Z25" s="1601"/>
      <c r="AA25" s="1601"/>
    </row>
    <row r="26" spans="1:27" s="1607" customFormat="1" ht="11.25" customHeight="1">
      <c r="A26" s="1587"/>
      <c r="B26" s="1588">
        <v>46161</v>
      </c>
      <c r="C26" s="1589" t="s">
        <v>1504</v>
      </c>
      <c r="D26" s="1590"/>
      <c r="E26" s="1609">
        <v>7</v>
      </c>
      <c r="F26" s="1592" t="s">
        <v>105</v>
      </c>
      <c r="G26" s="1591" t="s">
        <v>1131</v>
      </c>
      <c r="H26" s="1593"/>
      <c r="I26" s="1593"/>
      <c r="J26" s="1593"/>
      <c r="K26" s="1594">
        <v>20000</v>
      </c>
      <c r="L26" s="1595"/>
      <c r="M26" s="1596"/>
      <c r="N26" s="1597">
        <f t="shared" si="2"/>
        <v>399459.52999999997</v>
      </c>
      <c r="O26" s="1597"/>
      <c r="P26" s="1598"/>
      <c r="Q26" s="1599"/>
      <c r="R26" s="1599"/>
      <c r="S26" s="1600"/>
      <c r="T26" s="1601"/>
      <c r="U26" s="1601"/>
      <c r="V26" s="1601"/>
      <c r="W26" s="1601"/>
      <c r="X26" s="1601"/>
      <c r="Y26" s="1601"/>
      <c r="Z26" s="1601"/>
      <c r="AA26" s="1601"/>
    </row>
    <row r="27" spans="1:27" s="1572" customFormat="1" ht="12" customHeight="1">
      <c r="A27" s="1552"/>
      <c r="B27" s="1553">
        <v>46161</v>
      </c>
      <c r="C27" s="1585" t="s">
        <v>250</v>
      </c>
      <c r="D27" s="1555"/>
      <c r="E27" s="1608">
        <v>8</v>
      </c>
      <c r="F27" s="1557" t="s">
        <v>107</v>
      </c>
      <c r="G27" s="1556"/>
      <c r="H27" s="1569"/>
      <c r="I27" s="1570"/>
      <c r="J27" s="1569"/>
      <c r="K27" s="1560">
        <v>7.2</v>
      </c>
      <c r="L27" s="1561"/>
      <c r="M27" s="1562"/>
      <c r="N27" s="1563">
        <f t="shared" si="2"/>
        <v>399452.32999999996</v>
      </c>
      <c r="O27" s="1563"/>
      <c r="P27" s="1564"/>
      <c r="Q27" s="1565"/>
      <c r="R27" s="1565"/>
      <c r="S27" s="1566"/>
      <c r="T27" s="1567"/>
      <c r="U27" s="1567"/>
      <c r="V27" s="1567"/>
      <c r="W27" s="1567"/>
      <c r="X27" s="1567"/>
      <c r="Y27" s="1567"/>
      <c r="Z27" s="1567"/>
      <c r="AA27" s="1567"/>
    </row>
    <row r="28" spans="1:27" s="1572" customFormat="1" ht="12" customHeight="1">
      <c r="A28" s="1552"/>
      <c r="B28" s="1553">
        <v>46165</v>
      </c>
      <c r="C28" s="1585" t="s">
        <v>1520</v>
      </c>
      <c r="D28" s="1555"/>
      <c r="E28" s="1608">
        <v>9</v>
      </c>
      <c r="F28" s="1557" t="s">
        <v>107</v>
      </c>
      <c r="G28" s="1556"/>
      <c r="H28" s="1569"/>
      <c r="I28" s="1570"/>
      <c r="J28" s="1569"/>
      <c r="K28" s="1560">
        <v>1010</v>
      </c>
      <c r="L28" s="1561"/>
      <c r="M28" s="1562"/>
      <c r="N28" s="1563">
        <f t="shared" si="2"/>
        <v>398442.32999999996</v>
      </c>
      <c r="O28" s="1563"/>
      <c r="P28" s="1564"/>
      <c r="Q28" s="1565"/>
      <c r="R28" s="1565"/>
      <c r="S28" s="1566"/>
      <c r="T28" s="1567"/>
      <c r="U28" s="1567"/>
      <c r="V28" s="1567"/>
      <c r="W28" s="1567"/>
      <c r="X28" s="1567"/>
      <c r="Y28" s="1567"/>
      <c r="Z28" s="1567"/>
      <c r="AA28" s="1567"/>
    </row>
    <row r="29" spans="1:27" s="1572" customFormat="1" ht="12" customHeight="1">
      <c r="A29" s="1552"/>
      <c r="B29" s="1553">
        <v>46165</v>
      </c>
      <c r="C29" s="1585" t="s">
        <v>250</v>
      </c>
      <c r="D29" s="1555"/>
      <c r="E29" s="1608">
        <v>10</v>
      </c>
      <c r="F29" s="1557" t="s">
        <v>107</v>
      </c>
      <c r="G29" s="1556"/>
      <c r="H29" s="1569"/>
      <c r="I29" s="1570"/>
      <c r="J29" s="1569"/>
      <c r="K29" s="1560">
        <v>3.6</v>
      </c>
      <c r="L29" s="1561"/>
      <c r="M29" s="1562"/>
      <c r="N29" s="1563">
        <f t="shared" ref="N29:N31" si="3">N28+H29-K29</f>
        <v>398438.73</v>
      </c>
      <c r="O29" s="1563"/>
      <c r="P29" s="1564"/>
      <c r="Q29" s="1565"/>
      <c r="R29" s="1565"/>
      <c r="S29" s="1566"/>
      <c r="T29" s="1567"/>
      <c r="U29" s="1567"/>
      <c r="V29" s="1567"/>
      <c r="W29" s="1567"/>
      <c r="X29" s="1567"/>
      <c r="Y29" s="1567"/>
      <c r="Z29" s="1567"/>
      <c r="AA29" s="1567"/>
    </row>
    <row r="30" spans="1:27" s="1607" customFormat="1" ht="12" customHeight="1">
      <c r="A30" s="1587"/>
      <c r="B30" s="1588">
        <v>46165</v>
      </c>
      <c r="C30" s="1612" t="s">
        <v>305</v>
      </c>
      <c r="D30" s="1590"/>
      <c r="E30" s="1609">
        <v>11</v>
      </c>
      <c r="F30" s="1592" t="s">
        <v>105</v>
      </c>
      <c r="G30" s="1591" t="s">
        <v>227</v>
      </c>
      <c r="H30" s="1593"/>
      <c r="I30" s="1613"/>
      <c r="J30" s="1593"/>
      <c r="K30" s="1594">
        <v>7000</v>
      </c>
      <c r="L30" s="1595"/>
      <c r="M30" s="1596"/>
      <c r="N30" s="1597">
        <f t="shared" si="3"/>
        <v>391438.73</v>
      </c>
      <c r="O30" s="1597"/>
      <c r="P30" s="1598"/>
      <c r="Q30" s="1599"/>
      <c r="R30" s="1599"/>
      <c r="S30" s="1600"/>
      <c r="T30" s="1601"/>
      <c r="U30" s="1601"/>
      <c r="V30" s="1601"/>
      <c r="W30" s="1601"/>
      <c r="X30" s="1601"/>
      <c r="Y30" s="1601"/>
      <c r="Z30" s="1601"/>
      <c r="AA30" s="1601"/>
    </row>
    <row r="31" spans="1:27" s="1607" customFormat="1" ht="12" customHeight="1">
      <c r="A31" s="1587"/>
      <c r="B31" s="1588">
        <v>46165</v>
      </c>
      <c r="C31" s="1612" t="s">
        <v>1116</v>
      </c>
      <c r="D31" s="1590"/>
      <c r="E31" s="1609">
        <v>11</v>
      </c>
      <c r="F31" s="1592" t="s">
        <v>107</v>
      </c>
      <c r="G31" s="1591"/>
      <c r="H31" s="1593"/>
      <c r="I31" s="1613"/>
      <c r="J31" s="1593"/>
      <c r="K31" s="1594">
        <v>6000</v>
      </c>
      <c r="L31" s="1595"/>
      <c r="M31" s="1596"/>
      <c r="N31" s="1597">
        <f t="shared" si="3"/>
        <v>385438.73</v>
      </c>
      <c r="O31" s="1597"/>
      <c r="P31" s="1598"/>
      <c r="Q31" s="1599"/>
      <c r="R31" s="1599"/>
      <c r="S31" s="1600"/>
      <c r="T31" s="1601"/>
      <c r="U31" s="1601"/>
      <c r="V31" s="1601"/>
      <c r="W31" s="1601"/>
      <c r="X31" s="1601"/>
      <c r="Y31" s="1601"/>
      <c r="Z31" s="1601"/>
      <c r="AA31" s="1601"/>
    </row>
    <row r="32" spans="1:27" s="1607" customFormat="1" ht="12" customHeight="1">
      <c r="A32" s="1587"/>
      <c r="B32" s="1588">
        <v>46165</v>
      </c>
      <c r="C32" s="1612" t="s">
        <v>1117</v>
      </c>
      <c r="D32" s="1590"/>
      <c r="E32" s="1609">
        <v>11</v>
      </c>
      <c r="F32" s="1592" t="s">
        <v>107</v>
      </c>
      <c r="G32" s="1614"/>
      <c r="H32" s="1593"/>
      <c r="I32" s="1613"/>
      <c r="J32" s="1593"/>
      <c r="K32" s="1594">
        <v>580</v>
      </c>
      <c r="L32" s="1595"/>
      <c r="M32" s="1596"/>
      <c r="N32" s="1597">
        <f t="shared" ref="N32:N90" si="4">N31+H32-K32</f>
        <v>384858.73</v>
      </c>
      <c r="O32" s="1597"/>
      <c r="P32" s="1598"/>
      <c r="Q32" s="1599"/>
      <c r="R32" s="1599"/>
      <c r="S32" s="1600"/>
      <c r="T32" s="1601"/>
      <c r="U32" s="1601"/>
      <c r="V32" s="1601"/>
      <c r="W32" s="1601"/>
      <c r="X32" s="1601"/>
      <c r="Y32" s="1601"/>
      <c r="Z32" s="1601"/>
      <c r="AA32" s="1601"/>
    </row>
    <row r="33" spans="1:27" s="1607" customFormat="1" ht="12" customHeight="1">
      <c r="A33" s="1587"/>
      <c r="B33" s="1588">
        <v>46165</v>
      </c>
      <c r="C33" s="1612" t="s">
        <v>305</v>
      </c>
      <c r="D33" s="1590"/>
      <c r="E33" s="1609">
        <v>11</v>
      </c>
      <c r="F33" s="1592" t="s">
        <v>105</v>
      </c>
      <c r="G33" s="1591" t="s">
        <v>227</v>
      </c>
      <c r="H33" s="1593"/>
      <c r="I33" s="1613"/>
      <c r="J33" s="1593"/>
      <c r="K33" s="1594">
        <v>7000</v>
      </c>
      <c r="L33" s="1595"/>
      <c r="M33" s="1596"/>
      <c r="N33" s="1597">
        <f t="shared" si="4"/>
        <v>377858.73</v>
      </c>
      <c r="O33" s="1597"/>
      <c r="P33" s="1598"/>
      <c r="Q33" s="1599"/>
      <c r="R33" s="1599"/>
      <c r="S33" s="1600"/>
      <c r="T33" s="1601"/>
      <c r="U33" s="1601"/>
      <c r="V33" s="1601"/>
      <c r="W33" s="1601"/>
      <c r="X33" s="1601"/>
      <c r="Y33" s="1601"/>
      <c r="Z33" s="1601"/>
      <c r="AA33" s="1601"/>
    </row>
    <row r="34" spans="1:27" s="1607" customFormat="1" ht="12" customHeight="1">
      <c r="A34" s="1587"/>
      <c r="B34" s="1588">
        <v>46165</v>
      </c>
      <c r="C34" s="1612" t="s">
        <v>1493</v>
      </c>
      <c r="D34" s="1590"/>
      <c r="E34" s="1609">
        <v>11</v>
      </c>
      <c r="F34" s="1592" t="s">
        <v>107</v>
      </c>
      <c r="G34" s="1591"/>
      <c r="H34" s="1593"/>
      <c r="I34" s="1613"/>
      <c r="J34" s="1593"/>
      <c r="K34" s="1594">
        <v>6000</v>
      </c>
      <c r="L34" s="1595"/>
      <c r="M34" s="1596"/>
      <c r="N34" s="1597">
        <f t="shared" si="4"/>
        <v>371858.73</v>
      </c>
      <c r="O34" s="1597"/>
      <c r="P34" s="1598"/>
      <c r="Q34" s="1599"/>
      <c r="R34" s="1599"/>
      <c r="S34" s="1600"/>
      <c r="T34" s="1601"/>
      <c r="U34" s="1601"/>
      <c r="V34" s="1601"/>
      <c r="W34" s="1601"/>
      <c r="X34" s="1601"/>
      <c r="Y34" s="1601"/>
      <c r="Z34" s="1601"/>
      <c r="AA34" s="1601"/>
    </row>
    <row r="35" spans="1:27" s="1607" customFormat="1" ht="12" customHeight="1">
      <c r="A35" s="1587"/>
      <c r="B35" s="1588">
        <v>46165</v>
      </c>
      <c r="C35" s="1612" t="s">
        <v>1117</v>
      </c>
      <c r="D35" s="1590"/>
      <c r="E35" s="1609">
        <v>11</v>
      </c>
      <c r="F35" s="1592" t="s">
        <v>107</v>
      </c>
      <c r="G35" s="1591"/>
      <c r="H35" s="1593"/>
      <c r="I35" s="1613"/>
      <c r="J35" s="1593"/>
      <c r="K35" s="1594">
        <v>760</v>
      </c>
      <c r="L35" s="1595"/>
      <c r="M35" s="1596"/>
      <c r="N35" s="1597">
        <f t="shared" si="4"/>
        <v>371098.73</v>
      </c>
      <c r="O35" s="1597"/>
      <c r="P35" s="1598"/>
      <c r="Q35" s="1599"/>
      <c r="R35" s="1599"/>
      <c r="S35" s="1600"/>
      <c r="T35" s="1601"/>
      <c r="U35" s="1601"/>
      <c r="V35" s="1601"/>
      <c r="W35" s="1601"/>
      <c r="X35" s="1601"/>
      <c r="Y35" s="1601"/>
      <c r="Z35" s="1601"/>
      <c r="AA35" s="1601"/>
    </row>
    <row r="36" spans="1:27" s="1607" customFormat="1" ht="12" customHeight="1">
      <c r="A36" s="1587"/>
      <c r="B36" s="1588">
        <v>46165</v>
      </c>
      <c r="C36" s="1612" t="s">
        <v>305</v>
      </c>
      <c r="D36" s="1590"/>
      <c r="E36" s="1609">
        <v>11</v>
      </c>
      <c r="F36" s="1592" t="s">
        <v>105</v>
      </c>
      <c r="G36" s="1591" t="s">
        <v>227</v>
      </c>
      <c r="H36" s="1593"/>
      <c r="I36" s="1613"/>
      <c r="J36" s="1593"/>
      <c r="K36" s="1594">
        <v>6000</v>
      </c>
      <c r="L36" s="1595"/>
      <c r="M36" s="1596"/>
      <c r="N36" s="1597">
        <f t="shared" si="4"/>
        <v>365098.73</v>
      </c>
      <c r="O36" s="1597"/>
      <c r="P36" s="1598"/>
      <c r="Q36" s="1599"/>
      <c r="R36" s="1599"/>
      <c r="S36" s="1600"/>
      <c r="T36" s="1601"/>
      <c r="U36" s="1601"/>
      <c r="V36" s="1601"/>
      <c r="W36" s="1601"/>
      <c r="X36" s="1601"/>
      <c r="Y36" s="1601"/>
      <c r="Z36" s="1601"/>
      <c r="AA36" s="1601"/>
    </row>
    <row r="37" spans="1:27" s="1607" customFormat="1" ht="12" customHeight="1">
      <c r="A37" s="1587"/>
      <c r="B37" s="1588">
        <v>46165</v>
      </c>
      <c r="C37" s="1612" t="s">
        <v>1116</v>
      </c>
      <c r="D37" s="1590"/>
      <c r="E37" s="1609">
        <v>11</v>
      </c>
      <c r="F37" s="1592" t="s">
        <v>107</v>
      </c>
      <c r="G37" s="1591"/>
      <c r="H37" s="1593"/>
      <c r="I37" s="1613"/>
      <c r="J37" s="1593"/>
      <c r="K37" s="1594">
        <v>6000</v>
      </c>
      <c r="L37" s="1595"/>
      <c r="M37" s="1596"/>
      <c r="N37" s="1597">
        <f t="shared" si="4"/>
        <v>359098.73</v>
      </c>
      <c r="O37" s="1597"/>
      <c r="P37" s="1598"/>
      <c r="Q37" s="1599"/>
      <c r="R37" s="1599"/>
      <c r="S37" s="1600"/>
      <c r="T37" s="1601"/>
      <c r="U37" s="1601"/>
      <c r="V37" s="1601"/>
      <c r="W37" s="1601"/>
      <c r="X37" s="1601"/>
      <c r="Y37" s="1601"/>
      <c r="Z37" s="1601"/>
      <c r="AA37" s="1601"/>
    </row>
    <row r="38" spans="1:27" s="1607" customFormat="1" ht="12" customHeight="1">
      <c r="A38" s="1587"/>
      <c r="B38" s="1588">
        <v>46165</v>
      </c>
      <c r="C38" s="1612" t="s">
        <v>1117</v>
      </c>
      <c r="D38" s="1590"/>
      <c r="E38" s="1609">
        <v>11</v>
      </c>
      <c r="F38" s="1592" t="s">
        <v>107</v>
      </c>
      <c r="G38" s="1591"/>
      <c r="H38" s="1593"/>
      <c r="I38" s="1613"/>
      <c r="J38" s="1593"/>
      <c r="K38" s="1594">
        <v>300</v>
      </c>
      <c r="L38" s="1595">
        <f>SUM(K30:K38)</f>
        <v>39640</v>
      </c>
      <c r="M38" s="1596"/>
      <c r="N38" s="1597">
        <f t="shared" si="4"/>
        <v>358798.73</v>
      </c>
      <c r="O38" s="1597"/>
      <c r="P38" s="1598"/>
      <c r="Q38" s="1599"/>
      <c r="R38" s="1599"/>
      <c r="S38" s="1600"/>
      <c r="T38" s="1601"/>
      <c r="U38" s="1601"/>
      <c r="V38" s="1601"/>
      <c r="W38" s="1601"/>
      <c r="X38" s="1601"/>
      <c r="Y38" s="1601"/>
      <c r="Z38" s="1601"/>
      <c r="AA38" s="1601"/>
    </row>
    <row r="39" spans="1:27" s="1572" customFormat="1" ht="12" customHeight="1">
      <c r="A39" s="1552"/>
      <c r="B39" s="1553">
        <v>46165</v>
      </c>
      <c r="C39" s="1554" t="s">
        <v>250</v>
      </c>
      <c r="D39" s="1555"/>
      <c r="E39" s="1608">
        <v>12</v>
      </c>
      <c r="F39" s="1557" t="s">
        <v>107</v>
      </c>
      <c r="G39" s="1556"/>
      <c r="H39" s="1569"/>
      <c r="I39" s="1570"/>
      <c r="J39" s="1569"/>
      <c r="K39" s="1560">
        <v>7.2</v>
      </c>
      <c r="L39" s="1561"/>
      <c r="M39" s="1562"/>
      <c r="N39" s="1563">
        <f t="shared" si="4"/>
        <v>358791.52999999997</v>
      </c>
      <c r="O39" s="1563"/>
      <c r="P39" s="1564"/>
      <c r="Q39" s="1565"/>
      <c r="R39" s="1565"/>
      <c r="S39" s="1566"/>
      <c r="T39" s="1567"/>
      <c r="U39" s="1567"/>
      <c r="V39" s="1567"/>
      <c r="W39" s="1567"/>
      <c r="X39" s="1567"/>
      <c r="Y39" s="1567"/>
      <c r="Z39" s="1567"/>
      <c r="AA39" s="1567"/>
    </row>
    <row r="40" spans="1:27" s="1572" customFormat="1" ht="12" customHeight="1">
      <c r="A40" s="1552"/>
      <c r="B40" s="1553">
        <v>46165</v>
      </c>
      <c r="C40" s="1585" t="s">
        <v>1486</v>
      </c>
      <c r="D40" s="1555" t="s">
        <v>188</v>
      </c>
      <c r="E40" s="1608">
        <v>13</v>
      </c>
      <c r="F40" s="1557" t="s">
        <v>116</v>
      </c>
      <c r="G40" s="1556" t="s">
        <v>140</v>
      </c>
      <c r="H40" s="1569"/>
      <c r="I40" s="1570"/>
      <c r="J40" s="1569"/>
      <c r="K40" s="1560">
        <v>916</v>
      </c>
      <c r="L40" s="1561"/>
      <c r="M40" s="1562"/>
      <c r="N40" s="1563">
        <f t="shared" si="4"/>
        <v>357875.52999999997</v>
      </c>
      <c r="O40" s="1563"/>
      <c r="P40" s="1564"/>
      <c r="Q40" s="1565"/>
      <c r="R40" s="1565"/>
      <c r="S40" s="1566"/>
      <c r="T40" s="1567"/>
      <c r="U40" s="1567"/>
      <c r="V40" s="1567"/>
      <c r="W40" s="1567"/>
      <c r="X40" s="1567"/>
      <c r="Y40" s="1567"/>
      <c r="Z40" s="1567"/>
      <c r="AA40" s="1567"/>
    </row>
    <row r="41" spans="1:27" s="1572" customFormat="1" ht="12" customHeight="1">
      <c r="A41" s="1552"/>
      <c r="B41" s="1553">
        <v>46165</v>
      </c>
      <c r="C41" s="1585" t="s">
        <v>125</v>
      </c>
      <c r="D41" s="1555" t="s">
        <v>188</v>
      </c>
      <c r="E41" s="1608">
        <v>14</v>
      </c>
      <c r="F41" s="1557" t="s">
        <v>125</v>
      </c>
      <c r="G41" s="1556" t="s">
        <v>145</v>
      </c>
      <c r="H41" s="1569"/>
      <c r="I41" s="1569"/>
      <c r="J41" s="1569"/>
      <c r="K41" s="1560">
        <v>3323</v>
      </c>
      <c r="L41" s="1561"/>
      <c r="M41" s="1562"/>
      <c r="N41" s="1563">
        <f t="shared" si="4"/>
        <v>354552.52999999997</v>
      </c>
      <c r="O41" s="1563"/>
      <c r="P41" s="1564"/>
      <c r="Q41" s="1565"/>
      <c r="R41" s="1565"/>
      <c r="S41" s="1566"/>
      <c r="T41" s="1567"/>
      <c r="U41" s="1567"/>
      <c r="V41" s="1567"/>
      <c r="W41" s="1567"/>
      <c r="X41" s="1567"/>
      <c r="Y41" s="1567"/>
      <c r="Z41" s="1567"/>
      <c r="AA41" s="1567"/>
    </row>
    <row r="42" spans="1:27" s="1460" customFormat="1" ht="12" customHeight="1">
      <c r="A42" s="1457"/>
      <c r="B42" s="1553">
        <v>46165</v>
      </c>
      <c r="C42" s="1585" t="s">
        <v>1477</v>
      </c>
      <c r="D42" s="1555" t="s">
        <v>188</v>
      </c>
      <c r="E42" s="1608">
        <v>15</v>
      </c>
      <c r="F42" s="1557" t="s">
        <v>146</v>
      </c>
      <c r="G42" s="1556" t="s">
        <v>147</v>
      </c>
      <c r="H42" s="1569"/>
      <c r="I42" s="1569"/>
      <c r="J42" s="1569"/>
      <c r="K42" s="1560">
        <v>428.1</v>
      </c>
      <c r="L42" s="1561"/>
      <c r="M42" s="1562"/>
      <c r="N42" s="1563">
        <f t="shared" si="4"/>
        <v>354124.43</v>
      </c>
      <c r="O42" s="1431"/>
      <c r="P42" s="1461"/>
      <c r="Q42" s="1458"/>
      <c r="R42" s="1458"/>
      <c r="S42" s="1434" t="s">
        <v>1489</v>
      </c>
      <c r="T42" s="1459"/>
      <c r="U42" s="1459"/>
      <c r="V42" s="1459"/>
      <c r="W42" s="1459"/>
      <c r="X42" s="1459"/>
      <c r="Y42" s="1459"/>
      <c r="Z42" s="1459"/>
      <c r="AA42" s="1459"/>
    </row>
    <row r="43" spans="1:27" s="1607" customFormat="1" ht="12" customHeight="1">
      <c r="A43" s="1587"/>
      <c r="B43" s="1588">
        <v>46165</v>
      </c>
      <c r="C43" s="1589" t="s">
        <v>564</v>
      </c>
      <c r="D43" s="1590" t="s">
        <v>188</v>
      </c>
      <c r="E43" s="1609">
        <v>16</v>
      </c>
      <c r="F43" s="1592" t="s">
        <v>107</v>
      </c>
      <c r="G43" s="1591"/>
      <c r="H43" s="1593"/>
      <c r="I43" s="1593"/>
      <c r="J43" s="1593"/>
      <c r="K43" s="1594">
        <v>676</v>
      </c>
      <c r="M43" s="1596"/>
      <c r="N43" s="1597">
        <f t="shared" si="4"/>
        <v>353448.43</v>
      </c>
      <c r="O43" s="1597"/>
      <c r="P43" s="1598"/>
      <c r="Q43" s="1599"/>
      <c r="R43" s="1599"/>
      <c r="S43" s="1600"/>
      <c r="T43" s="1601"/>
      <c r="U43" s="1601"/>
      <c r="V43" s="1601"/>
      <c r="W43" s="1601"/>
      <c r="X43" s="1601"/>
      <c r="Y43" s="1601"/>
      <c r="Z43" s="1601"/>
      <c r="AA43" s="1601"/>
    </row>
    <row r="44" spans="1:27" s="1607" customFormat="1" ht="12" customHeight="1">
      <c r="A44" s="1587"/>
      <c r="B44" s="1588">
        <v>46165</v>
      </c>
      <c r="C44" s="1605" t="s">
        <v>1502</v>
      </c>
      <c r="D44" s="1590" t="s">
        <v>188</v>
      </c>
      <c r="E44" s="1609">
        <v>17</v>
      </c>
      <c r="F44" s="1592" t="s">
        <v>107</v>
      </c>
      <c r="G44" s="1591" t="s">
        <v>1498</v>
      </c>
      <c r="H44" s="1593"/>
      <c r="I44" s="1593"/>
      <c r="J44" s="1593"/>
      <c r="K44" s="1594">
        <v>89.25</v>
      </c>
      <c r="L44" s="1595">
        <f>SUM(K40:K44)</f>
        <v>5432.35</v>
      </c>
      <c r="M44" s="1596"/>
      <c r="N44" s="1597">
        <f t="shared" si="4"/>
        <v>353359.18</v>
      </c>
      <c r="O44" s="1597"/>
      <c r="P44" s="1606"/>
      <c r="Q44" s="1599"/>
      <c r="R44" s="1599"/>
      <c r="S44" s="1600"/>
      <c r="T44" s="1601"/>
      <c r="U44" s="1601"/>
      <c r="V44" s="1601"/>
      <c r="W44" s="1601"/>
      <c r="X44" s="1601"/>
      <c r="Y44" s="1601"/>
      <c r="Z44" s="1601"/>
      <c r="AA44" s="1601"/>
    </row>
    <row r="45" spans="1:27" s="1572" customFormat="1" ht="12" customHeight="1">
      <c r="A45" s="1552"/>
      <c r="B45" s="1553">
        <v>46165</v>
      </c>
      <c r="C45" s="1585" t="s">
        <v>1492</v>
      </c>
      <c r="D45" s="1555" t="s">
        <v>188</v>
      </c>
      <c r="E45" s="1608">
        <v>18</v>
      </c>
      <c r="F45" s="1557" t="s">
        <v>107</v>
      </c>
      <c r="G45" s="1556"/>
      <c r="H45" s="1569"/>
      <c r="I45" s="1569"/>
      <c r="J45" s="1569"/>
      <c r="K45" s="1560">
        <v>3.6</v>
      </c>
      <c r="L45" s="1561"/>
      <c r="M45" s="1562"/>
      <c r="N45" s="1563">
        <f t="shared" si="4"/>
        <v>353355.58</v>
      </c>
      <c r="O45" s="1563"/>
      <c r="P45" s="1564"/>
      <c r="Q45" s="1565"/>
      <c r="R45" s="1565"/>
      <c r="S45" s="1566"/>
      <c r="T45" s="1567"/>
      <c r="U45" s="1567"/>
      <c r="V45" s="1567"/>
      <c r="W45" s="1567"/>
      <c r="X45" s="1567"/>
      <c r="Y45" s="1567"/>
      <c r="Z45" s="1567"/>
      <c r="AA45" s="1567"/>
    </row>
    <row r="46" spans="1:27" s="1568" customFormat="1" ht="11.25" customHeight="1">
      <c r="A46" s="1552"/>
      <c r="B46" s="1553">
        <v>46165</v>
      </c>
      <c r="C46" s="1585" t="s">
        <v>11</v>
      </c>
      <c r="D46" s="1555" t="s">
        <v>1416</v>
      </c>
      <c r="E46" s="1608">
        <v>19</v>
      </c>
      <c r="F46" s="1557" t="s">
        <v>125</v>
      </c>
      <c r="G46" s="1556" t="s">
        <v>145</v>
      </c>
      <c r="H46" s="1558"/>
      <c r="I46" s="1559"/>
      <c r="J46" s="1559"/>
      <c r="K46" s="1560">
        <v>1110.1600000000001</v>
      </c>
      <c r="L46" s="1561"/>
      <c r="M46" s="1562"/>
      <c r="N46" s="1563">
        <f t="shared" si="4"/>
        <v>352245.42000000004</v>
      </c>
      <c r="O46" s="1563"/>
      <c r="P46" s="1564"/>
      <c r="Q46" s="1565"/>
      <c r="R46" s="1565"/>
      <c r="S46" s="1566"/>
      <c r="T46" s="1567"/>
      <c r="U46" s="1567"/>
      <c r="V46" s="1567"/>
      <c r="W46" s="1567"/>
      <c r="X46" s="1567"/>
      <c r="Y46" s="1567"/>
      <c r="Z46" s="1567"/>
      <c r="AA46" s="1567"/>
    </row>
    <row r="47" spans="1:27" s="1568" customFormat="1" ht="11.25" customHeight="1">
      <c r="A47" s="1552"/>
      <c r="B47" s="1553">
        <v>46165</v>
      </c>
      <c r="C47" s="1585" t="s">
        <v>1429</v>
      </c>
      <c r="D47" s="1555" t="s">
        <v>1416</v>
      </c>
      <c r="E47" s="1608">
        <v>20</v>
      </c>
      <c r="F47" s="1557" t="s">
        <v>13</v>
      </c>
      <c r="G47" s="1556" t="s">
        <v>14</v>
      </c>
      <c r="H47" s="1558"/>
      <c r="I47" s="1559"/>
      <c r="J47" s="1559"/>
      <c r="K47" s="1560">
        <v>3489.39</v>
      </c>
      <c r="L47" s="1561"/>
      <c r="M47" s="1562"/>
      <c r="N47" s="1563">
        <f t="shared" si="4"/>
        <v>348756.03</v>
      </c>
      <c r="O47" s="1563"/>
      <c r="P47" s="1564"/>
      <c r="Q47" s="1565"/>
      <c r="R47" s="1565"/>
      <c r="S47" s="1566"/>
      <c r="T47" s="1567"/>
      <c r="U47" s="1567"/>
      <c r="V47" s="1567"/>
      <c r="W47" s="1567"/>
      <c r="X47" s="1567"/>
      <c r="Y47" s="1567"/>
      <c r="Z47" s="1567"/>
      <c r="AA47" s="1567"/>
    </row>
    <row r="48" spans="1:27" s="1568" customFormat="1" ht="11.25" customHeight="1">
      <c r="A48" s="1552"/>
      <c r="B48" s="1553">
        <v>46165</v>
      </c>
      <c r="C48" s="1585" t="s">
        <v>1477</v>
      </c>
      <c r="D48" s="1555" t="s">
        <v>1416</v>
      </c>
      <c r="E48" s="1608">
        <v>21</v>
      </c>
      <c r="F48" s="1557" t="s">
        <v>146</v>
      </c>
      <c r="G48" s="1556" t="s">
        <v>147</v>
      </c>
      <c r="H48" s="1558"/>
      <c r="I48" s="1559"/>
      <c r="J48" s="1559"/>
      <c r="K48" s="1560">
        <v>126.6</v>
      </c>
      <c r="L48" s="1561"/>
      <c r="M48" s="1562"/>
      <c r="N48" s="1563">
        <f t="shared" si="4"/>
        <v>348629.43000000005</v>
      </c>
      <c r="O48" s="1563"/>
      <c r="P48" s="1564"/>
      <c r="Q48" s="1565"/>
      <c r="R48" s="1565"/>
      <c r="S48" s="1566"/>
      <c r="T48" s="1567"/>
      <c r="U48" s="1567"/>
      <c r="V48" s="1567"/>
      <c r="W48" s="1567"/>
      <c r="X48" s="1567"/>
      <c r="Y48" s="1567"/>
      <c r="Z48" s="1567"/>
      <c r="AA48" s="1567"/>
    </row>
    <row r="49" spans="1:27" s="1568" customFormat="1" ht="11.25" customHeight="1">
      <c r="A49" s="1552"/>
      <c r="B49" s="1553">
        <v>46165</v>
      </c>
      <c r="C49" s="1585" t="s">
        <v>19</v>
      </c>
      <c r="D49" s="1555" t="s">
        <v>1416</v>
      </c>
      <c r="E49" s="1608">
        <v>22</v>
      </c>
      <c r="F49" s="1557" t="s">
        <v>116</v>
      </c>
      <c r="G49" s="1556" t="s">
        <v>140</v>
      </c>
      <c r="H49" s="1558"/>
      <c r="I49" s="1559"/>
      <c r="J49" s="1559"/>
      <c r="K49" s="1560">
        <v>236.8</v>
      </c>
      <c r="L49" s="1561"/>
      <c r="M49" s="1562"/>
      <c r="N49" s="1563">
        <f t="shared" si="4"/>
        <v>348392.63000000006</v>
      </c>
      <c r="O49" s="1563"/>
      <c r="P49" s="1564"/>
      <c r="Q49" s="1565"/>
      <c r="R49" s="1565"/>
      <c r="S49" s="1566"/>
      <c r="T49" s="1567"/>
      <c r="U49" s="1567"/>
      <c r="V49" s="1567"/>
      <c r="W49" s="1567"/>
      <c r="X49" s="1567"/>
      <c r="Y49" s="1567"/>
      <c r="Z49" s="1567"/>
      <c r="AA49" s="1567"/>
    </row>
    <row r="50" spans="1:27" s="1602" customFormat="1" ht="11.25" customHeight="1">
      <c r="A50" s="1587"/>
      <c r="B50" s="1588">
        <v>46165</v>
      </c>
      <c r="C50" s="1589" t="s">
        <v>1589</v>
      </c>
      <c r="D50" s="1590" t="s">
        <v>1416</v>
      </c>
      <c r="E50" s="1609">
        <v>23</v>
      </c>
      <c r="F50" s="1592" t="s">
        <v>107</v>
      </c>
      <c r="G50" s="1591"/>
      <c r="H50" s="1603"/>
      <c r="I50" s="1604"/>
      <c r="J50" s="1604"/>
      <c r="K50" s="1594">
        <v>700</v>
      </c>
      <c r="L50" s="1595"/>
      <c r="M50" s="1596"/>
      <c r="N50" s="1597">
        <f t="shared" si="4"/>
        <v>347692.63000000006</v>
      </c>
      <c r="O50" s="1597"/>
      <c r="P50" s="1598"/>
      <c r="Q50" s="1599"/>
      <c r="R50" s="1599"/>
      <c r="S50" s="1600"/>
      <c r="T50" s="1601"/>
      <c r="U50" s="1601"/>
      <c r="V50" s="1601"/>
      <c r="W50" s="1601"/>
      <c r="X50" s="1601"/>
      <c r="Y50" s="1601"/>
      <c r="Z50" s="1601"/>
      <c r="AA50" s="1601"/>
    </row>
    <row r="51" spans="1:27" s="1568" customFormat="1" ht="11.25" customHeight="1">
      <c r="A51" s="1552"/>
      <c r="B51" s="1553">
        <v>46165</v>
      </c>
      <c r="C51" s="1585" t="s">
        <v>1431</v>
      </c>
      <c r="D51" s="1555" t="s">
        <v>1416</v>
      </c>
      <c r="E51" s="1608">
        <v>24</v>
      </c>
      <c r="F51" s="1557" t="s">
        <v>21</v>
      </c>
      <c r="G51" s="1556" t="s">
        <v>140</v>
      </c>
      <c r="H51" s="1558"/>
      <c r="I51" s="1559"/>
      <c r="J51" s="1559"/>
      <c r="K51" s="1560">
        <v>18</v>
      </c>
      <c r="L51" s="1561">
        <f>SUM(K46:K51)</f>
        <v>5680.9500000000007</v>
      </c>
      <c r="M51" s="1562"/>
      <c r="N51" s="1563">
        <f t="shared" si="4"/>
        <v>347674.63000000006</v>
      </c>
      <c r="O51" s="1563"/>
      <c r="P51" s="1564"/>
      <c r="Q51" s="1565"/>
      <c r="R51" s="1565"/>
      <c r="S51" s="1566"/>
      <c r="T51" s="1567"/>
      <c r="U51" s="1567"/>
      <c r="V51" s="1567"/>
      <c r="W51" s="1567"/>
      <c r="X51" s="1567"/>
      <c r="Y51" s="1567"/>
      <c r="Z51" s="1567"/>
      <c r="AA51" s="1567"/>
    </row>
    <row r="52" spans="1:27" s="1568" customFormat="1" ht="11.1" customHeight="1">
      <c r="A52" s="1552"/>
      <c r="B52" s="1553">
        <v>46165</v>
      </c>
      <c r="C52" s="1585" t="s">
        <v>1492</v>
      </c>
      <c r="D52" s="1555" t="s">
        <v>1416</v>
      </c>
      <c r="E52" s="1608">
        <v>25</v>
      </c>
      <c r="F52" s="1557" t="s">
        <v>107</v>
      </c>
      <c r="G52" s="1556"/>
      <c r="H52" s="1569"/>
      <c r="I52" s="1569"/>
      <c r="J52" s="1569"/>
      <c r="K52" s="1560">
        <v>3.6</v>
      </c>
      <c r="L52" s="1561"/>
      <c r="M52" s="1562"/>
      <c r="N52" s="1563">
        <f t="shared" si="4"/>
        <v>347671.03000000009</v>
      </c>
      <c r="O52" s="1563"/>
      <c r="P52" s="1564"/>
      <c r="Q52" s="1565"/>
      <c r="R52" s="1565"/>
      <c r="S52" s="1566"/>
      <c r="T52" s="1567"/>
      <c r="U52" s="1567"/>
      <c r="V52" s="1567"/>
      <c r="W52" s="1567"/>
      <c r="X52" s="1567"/>
      <c r="Y52" s="1567"/>
      <c r="Z52" s="1567"/>
      <c r="AA52" s="1567"/>
    </row>
    <row r="53" spans="1:27" s="1568" customFormat="1" ht="11.25" customHeight="1">
      <c r="A53" s="1552"/>
      <c r="B53" s="1553">
        <v>46165</v>
      </c>
      <c r="C53" s="1585" t="s">
        <v>1477</v>
      </c>
      <c r="D53" s="1555" t="s">
        <v>1490</v>
      </c>
      <c r="E53" s="1608">
        <v>26</v>
      </c>
      <c r="F53" s="1557" t="s">
        <v>146</v>
      </c>
      <c r="G53" s="1556" t="s">
        <v>147</v>
      </c>
      <c r="H53" s="1569"/>
      <c r="I53" s="1569"/>
      <c r="J53" s="1569"/>
      <c r="K53" s="1560">
        <v>1224.5999999999999</v>
      </c>
      <c r="L53" s="1561"/>
      <c r="M53" s="1562"/>
      <c r="N53" s="1563">
        <f t="shared" si="4"/>
        <v>346446.43000000011</v>
      </c>
      <c r="O53" s="1563"/>
      <c r="P53" s="1564"/>
      <c r="Q53" s="1565"/>
      <c r="R53" s="1565"/>
      <c r="S53" s="1566"/>
      <c r="T53" s="1567"/>
      <c r="U53" s="1567"/>
      <c r="V53" s="1567"/>
      <c r="W53" s="1567"/>
      <c r="X53" s="1567"/>
      <c r="Y53" s="1567"/>
      <c r="Z53" s="1567"/>
      <c r="AA53" s="1567"/>
    </row>
    <row r="54" spans="1:27" s="1568" customFormat="1" ht="11.25" customHeight="1">
      <c r="A54" s="1552"/>
      <c r="B54" s="1553">
        <v>46165</v>
      </c>
      <c r="C54" s="1585" t="s">
        <v>1429</v>
      </c>
      <c r="D54" s="1555" t="s">
        <v>1490</v>
      </c>
      <c r="E54" s="1608">
        <v>27</v>
      </c>
      <c r="F54" s="1557" t="s">
        <v>13</v>
      </c>
      <c r="G54" s="1556" t="s">
        <v>14</v>
      </c>
      <c r="H54" s="1569"/>
      <c r="I54" s="1569"/>
      <c r="J54" s="1569"/>
      <c r="K54" s="1560">
        <v>6692.6</v>
      </c>
      <c r="L54" s="1561"/>
      <c r="M54" s="1562"/>
      <c r="N54" s="1563">
        <f t="shared" si="4"/>
        <v>339753.83000000013</v>
      </c>
      <c r="O54" s="1563"/>
      <c r="P54" s="1564"/>
      <c r="Q54" s="1565"/>
      <c r="R54" s="1565"/>
      <c r="S54" s="1566"/>
      <c r="T54" s="1567"/>
      <c r="U54" s="1567"/>
      <c r="V54" s="1567"/>
      <c r="W54" s="1567"/>
      <c r="X54" s="1567"/>
      <c r="Y54" s="1567"/>
      <c r="Z54" s="1567"/>
      <c r="AA54" s="1567"/>
    </row>
    <row r="55" spans="1:27" s="1568" customFormat="1" ht="11.25" customHeight="1">
      <c r="A55" s="1552"/>
      <c r="B55" s="1553">
        <v>46165</v>
      </c>
      <c r="C55" s="1585" t="s">
        <v>1431</v>
      </c>
      <c r="D55" s="1555" t="s">
        <v>1490</v>
      </c>
      <c r="E55" s="1608">
        <v>28</v>
      </c>
      <c r="F55" s="1557" t="s">
        <v>21</v>
      </c>
      <c r="G55" s="1556" t="s">
        <v>140</v>
      </c>
      <c r="H55" s="1569"/>
      <c r="I55" s="1569"/>
      <c r="J55" s="1569"/>
      <c r="K55" s="1560">
        <v>490.7</v>
      </c>
      <c r="L55" s="1561"/>
      <c r="M55" s="1562"/>
      <c r="N55" s="1563">
        <f t="shared" si="4"/>
        <v>339263.13000000012</v>
      </c>
      <c r="O55" s="1563"/>
      <c r="P55" s="1564"/>
      <c r="Q55" s="1565"/>
      <c r="R55" s="1565"/>
      <c r="S55" s="1566"/>
      <c r="T55" s="1567"/>
      <c r="U55" s="1567"/>
      <c r="V55" s="1567"/>
      <c r="W55" s="1567"/>
      <c r="X55" s="1567"/>
      <c r="Y55" s="1567"/>
      <c r="Z55" s="1567"/>
      <c r="AA55" s="1567"/>
    </row>
    <row r="56" spans="1:27" s="1568" customFormat="1" ht="11.25" customHeight="1">
      <c r="A56" s="1552"/>
      <c r="B56" s="1553">
        <v>46165</v>
      </c>
      <c r="C56" s="1585" t="s">
        <v>19</v>
      </c>
      <c r="D56" s="1555" t="s">
        <v>1490</v>
      </c>
      <c r="E56" s="1608">
        <v>29</v>
      </c>
      <c r="F56" s="1557" t="s">
        <v>116</v>
      </c>
      <c r="G56" s="1556" t="s">
        <v>140</v>
      </c>
      <c r="H56" s="1569"/>
      <c r="I56" s="1569"/>
      <c r="J56" s="1569"/>
      <c r="K56" s="1560">
        <v>300</v>
      </c>
      <c r="L56" s="1562">
        <f>SUM(K53:K56)</f>
        <v>8707.9000000000015</v>
      </c>
      <c r="M56" s="1562"/>
      <c r="N56" s="1563">
        <f t="shared" si="4"/>
        <v>338963.13000000012</v>
      </c>
      <c r="O56" s="1563"/>
      <c r="P56" s="1564"/>
      <c r="Q56" s="1565"/>
      <c r="R56" s="1565"/>
      <c r="S56" s="1566"/>
      <c r="T56" s="1567"/>
      <c r="U56" s="1567"/>
      <c r="V56" s="1567"/>
      <c r="W56" s="1567"/>
      <c r="X56" s="1567"/>
      <c r="Y56" s="1567"/>
      <c r="Z56" s="1567"/>
      <c r="AA56" s="1567"/>
    </row>
    <row r="57" spans="1:27" s="1568" customFormat="1" ht="11.25" customHeight="1">
      <c r="A57" s="1552"/>
      <c r="B57" s="1553">
        <v>46165</v>
      </c>
      <c r="C57" s="1585" t="s">
        <v>1492</v>
      </c>
      <c r="D57" s="1555" t="s">
        <v>1490</v>
      </c>
      <c r="E57" s="1608">
        <v>30</v>
      </c>
      <c r="F57" s="1557" t="s">
        <v>107</v>
      </c>
      <c r="G57" s="1556"/>
      <c r="H57" s="1569"/>
      <c r="I57" s="1569"/>
      <c r="J57" s="1569"/>
      <c r="K57" s="1560">
        <v>3.6</v>
      </c>
      <c r="L57" s="1561"/>
      <c r="M57" s="1562"/>
      <c r="N57" s="1563">
        <f t="shared" si="4"/>
        <v>338959.53000000014</v>
      </c>
      <c r="O57" s="1563"/>
      <c r="P57" s="1564"/>
      <c r="Q57" s="1565"/>
      <c r="R57" s="1565"/>
      <c r="S57" s="1566"/>
      <c r="T57" s="1567"/>
      <c r="U57" s="1567"/>
      <c r="V57" s="1567"/>
      <c r="W57" s="1567"/>
      <c r="X57" s="1567"/>
      <c r="Y57" s="1567"/>
      <c r="Z57" s="1567"/>
      <c r="AA57" s="1567"/>
    </row>
    <row r="58" spans="1:27" s="1568" customFormat="1" ht="11.25" customHeight="1">
      <c r="A58" s="1552"/>
      <c r="B58" s="1553">
        <v>46165</v>
      </c>
      <c r="C58" s="1585" t="s">
        <v>11</v>
      </c>
      <c r="D58" s="1555" t="s">
        <v>1420</v>
      </c>
      <c r="E58" s="1608">
        <v>31</v>
      </c>
      <c r="F58" s="1557" t="s">
        <v>125</v>
      </c>
      <c r="G58" s="1556" t="s">
        <v>145</v>
      </c>
      <c r="H58" s="1569"/>
      <c r="I58" s="1569"/>
      <c r="J58" s="1569"/>
      <c r="K58" s="1560">
        <v>386</v>
      </c>
      <c r="L58" s="1561"/>
      <c r="M58" s="1562"/>
      <c r="N58" s="1563">
        <f t="shared" si="4"/>
        <v>338573.53000000014</v>
      </c>
      <c r="O58" s="1563"/>
      <c r="P58" s="1564"/>
      <c r="Q58" s="1565"/>
      <c r="R58" s="1565"/>
      <c r="S58" s="1566"/>
      <c r="T58" s="1567"/>
      <c r="U58" s="1567"/>
      <c r="V58" s="1567"/>
      <c r="W58" s="1567"/>
      <c r="X58" s="1567"/>
      <c r="Y58" s="1567"/>
      <c r="Z58" s="1567"/>
      <c r="AA58" s="1567"/>
    </row>
    <row r="59" spans="1:27" s="1568" customFormat="1" ht="11.25" customHeight="1">
      <c r="A59" s="1552"/>
      <c r="B59" s="1553">
        <v>46165</v>
      </c>
      <c r="C59" s="1585" t="s">
        <v>1477</v>
      </c>
      <c r="D59" s="1555" t="s">
        <v>1420</v>
      </c>
      <c r="E59" s="1608">
        <v>32</v>
      </c>
      <c r="F59" s="1557" t="s">
        <v>146</v>
      </c>
      <c r="G59" s="1556" t="s">
        <v>147</v>
      </c>
      <c r="H59" s="1569"/>
      <c r="I59" s="1569"/>
      <c r="J59" s="1569"/>
      <c r="K59" s="1560">
        <v>208.4</v>
      </c>
      <c r="L59" s="1561"/>
      <c r="M59" s="1562"/>
      <c r="N59" s="1563">
        <f t="shared" si="4"/>
        <v>338365.13000000012</v>
      </c>
      <c r="O59" s="1563"/>
      <c r="P59" s="1564"/>
      <c r="Q59" s="1565"/>
      <c r="R59" s="1565"/>
      <c r="S59" s="1566"/>
      <c r="T59" s="1567"/>
      <c r="U59" s="1567"/>
      <c r="V59" s="1567"/>
      <c r="W59" s="1567"/>
      <c r="X59" s="1567"/>
      <c r="Y59" s="1567"/>
      <c r="Z59" s="1567"/>
      <c r="AA59" s="1567"/>
    </row>
    <row r="60" spans="1:27" s="1568" customFormat="1" ht="11.25" customHeight="1">
      <c r="A60" s="1552"/>
      <c r="B60" s="1553">
        <v>46165</v>
      </c>
      <c r="C60" s="1585" t="s">
        <v>19</v>
      </c>
      <c r="D60" s="1555" t="s">
        <v>1420</v>
      </c>
      <c r="E60" s="1608">
        <v>33</v>
      </c>
      <c r="F60" s="1557" t="s">
        <v>116</v>
      </c>
      <c r="G60" s="1556" t="s">
        <v>140</v>
      </c>
      <c r="H60" s="1569"/>
      <c r="I60" s="1569"/>
      <c r="J60" s="1569"/>
      <c r="K60" s="1560">
        <v>302.36</v>
      </c>
      <c r="L60" s="1561"/>
      <c r="M60" s="1562"/>
      <c r="N60" s="1563">
        <f t="shared" si="4"/>
        <v>338062.77000000014</v>
      </c>
      <c r="O60" s="1563"/>
      <c r="P60" s="1564"/>
      <c r="Q60" s="1565"/>
      <c r="R60" s="1565"/>
      <c r="S60" s="1566"/>
      <c r="T60" s="1567"/>
      <c r="U60" s="1567"/>
      <c r="V60" s="1567"/>
      <c r="W60" s="1567"/>
      <c r="X60" s="1567"/>
      <c r="Y60" s="1567"/>
      <c r="Z60" s="1567"/>
      <c r="AA60" s="1567"/>
    </row>
    <row r="61" spans="1:27" s="1602" customFormat="1" ht="11.25" customHeight="1">
      <c r="A61" s="1587"/>
      <c r="B61" s="1588">
        <v>46165</v>
      </c>
      <c r="C61" s="1589" t="s">
        <v>564</v>
      </c>
      <c r="D61" s="1590" t="s">
        <v>1420</v>
      </c>
      <c r="E61" s="1609">
        <v>34</v>
      </c>
      <c r="F61" s="1592" t="s">
        <v>107</v>
      </c>
      <c r="G61" s="1591"/>
      <c r="H61" s="1593"/>
      <c r="I61" s="1593"/>
      <c r="J61" s="1593"/>
      <c r="K61" s="1594">
        <v>160.06</v>
      </c>
      <c r="M61" s="1596"/>
      <c r="N61" s="1597">
        <f t="shared" si="4"/>
        <v>337902.71000000014</v>
      </c>
      <c r="O61" s="1597"/>
      <c r="P61" s="1598"/>
      <c r="Q61" s="1599"/>
      <c r="R61" s="1599"/>
      <c r="S61" s="1600"/>
      <c r="T61" s="1601"/>
      <c r="U61" s="1601"/>
      <c r="V61" s="1601"/>
      <c r="W61" s="1601"/>
      <c r="X61" s="1601"/>
      <c r="Y61" s="1601"/>
      <c r="Z61" s="1601"/>
      <c r="AA61" s="1601"/>
    </row>
    <row r="62" spans="1:27" s="1602" customFormat="1" ht="11.25" customHeight="1">
      <c r="A62" s="1587"/>
      <c r="B62" s="1588">
        <v>46165</v>
      </c>
      <c r="C62" s="1589" t="s">
        <v>1519</v>
      </c>
      <c r="D62" s="1590" t="s">
        <v>1420</v>
      </c>
      <c r="E62" s="1609">
        <v>35</v>
      </c>
      <c r="F62" s="1592" t="s">
        <v>105</v>
      </c>
      <c r="G62" s="1591" t="s">
        <v>1131</v>
      </c>
      <c r="H62" s="1593"/>
      <c r="I62" s="1593"/>
      <c r="J62" s="1593"/>
      <c r="K62" s="1594">
        <v>300</v>
      </c>
      <c r="L62" s="1595"/>
      <c r="M62" s="1596"/>
      <c r="N62" s="1597">
        <f t="shared" si="4"/>
        <v>337602.71000000014</v>
      </c>
      <c r="O62" s="1597"/>
      <c r="P62" s="1598"/>
      <c r="Q62" s="1599"/>
      <c r="R62" s="1599"/>
      <c r="S62" s="1600"/>
      <c r="T62" s="1601"/>
      <c r="U62" s="1601"/>
      <c r="V62" s="1601"/>
      <c r="W62" s="1601"/>
      <c r="X62" s="1601"/>
      <c r="Y62" s="1601"/>
      <c r="Z62" s="1601"/>
      <c r="AA62" s="1601"/>
    </row>
    <row r="63" spans="1:27" s="1602" customFormat="1" ht="11.25" customHeight="1">
      <c r="A63" s="1587"/>
      <c r="B63" s="1588">
        <v>46165</v>
      </c>
      <c r="C63" s="1589" t="s">
        <v>1580</v>
      </c>
      <c r="D63" s="1590" t="s">
        <v>1420</v>
      </c>
      <c r="E63" s="1609">
        <v>36</v>
      </c>
      <c r="F63" s="1592" t="s">
        <v>107</v>
      </c>
      <c r="G63" s="1591"/>
      <c r="H63" s="1593"/>
      <c r="I63" s="1593"/>
      <c r="J63" s="1593"/>
      <c r="K63" s="1594">
        <v>4596</v>
      </c>
      <c r="L63" s="1595">
        <f>SUM(K58:K63)</f>
        <v>5952.82</v>
      </c>
      <c r="M63" s="1596"/>
      <c r="N63" s="1597">
        <f t="shared" si="4"/>
        <v>333006.71000000014</v>
      </c>
      <c r="O63" s="1597"/>
      <c r="P63" s="1598"/>
      <c r="Q63" s="1599"/>
      <c r="R63" s="1599"/>
      <c r="S63" s="1600"/>
      <c r="T63" s="1601"/>
      <c r="U63" s="1601"/>
      <c r="V63" s="1601"/>
      <c r="W63" s="1601"/>
      <c r="X63" s="1601"/>
      <c r="Y63" s="1601"/>
      <c r="Z63" s="1601"/>
      <c r="AA63" s="1601"/>
    </row>
    <row r="64" spans="1:27" s="1568" customFormat="1" ht="11.25" customHeight="1">
      <c r="A64" s="1552"/>
      <c r="B64" s="1553">
        <v>46165</v>
      </c>
      <c r="C64" s="1554" t="s">
        <v>1492</v>
      </c>
      <c r="D64" s="1555" t="s">
        <v>1420</v>
      </c>
      <c r="E64" s="1608">
        <v>37</v>
      </c>
      <c r="F64" s="1557" t="s">
        <v>107</v>
      </c>
      <c r="G64" s="1556"/>
      <c r="H64" s="1569"/>
      <c r="I64" s="1569"/>
      <c r="J64" s="1569"/>
      <c r="K64" s="1560">
        <v>3.6</v>
      </c>
      <c r="L64" s="1561"/>
      <c r="M64" s="1562"/>
      <c r="N64" s="1563">
        <f t="shared" si="4"/>
        <v>333003.11000000016</v>
      </c>
      <c r="O64" s="1563"/>
      <c r="P64" s="1564"/>
      <c r="Q64" s="1565"/>
      <c r="R64" s="1565"/>
      <c r="S64" s="1566"/>
      <c r="T64" s="1567"/>
      <c r="U64" s="1567"/>
      <c r="V64" s="1567"/>
      <c r="W64" s="1567"/>
      <c r="X64" s="1567"/>
      <c r="Y64" s="1567"/>
      <c r="Z64" s="1567"/>
      <c r="AA64" s="1567"/>
    </row>
    <row r="65" spans="1:27" s="1568" customFormat="1" ht="11.25" customHeight="1">
      <c r="A65" s="1552"/>
      <c r="B65" s="1553">
        <v>46165</v>
      </c>
      <c r="C65" s="1585" t="s">
        <v>1429</v>
      </c>
      <c r="D65" s="1555" t="s">
        <v>1488</v>
      </c>
      <c r="E65" s="1608">
        <v>38</v>
      </c>
      <c r="F65" s="1557" t="s">
        <v>13</v>
      </c>
      <c r="G65" s="1556" t="s">
        <v>14</v>
      </c>
      <c r="H65" s="1569"/>
      <c r="I65" s="1569"/>
      <c r="J65" s="1569"/>
      <c r="K65" s="1560">
        <v>5909.18</v>
      </c>
      <c r="L65" s="1561"/>
      <c r="M65" s="1562"/>
      <c r="N65" s="1563">
        <f t="shared" si="4"/>
        <v>327093.93000000017</v>
      </c>
      <c r="O65" s="1563"/>
      <c r="P65" s="1564"/>
      <c r="Q65" s="1565"/>
      <c r="R65" s="1565"/>
      <c r="S65" s="1566"/>
      <c r="T65" s="1567"/>
      <c r="U65" s="1567"/>
      <c r="V65" s="1567"/>
      <c r="W65" s="1567"/>
      <c r="X65" s="1567"/>
      <c r="Y65" s="1567"/>
      <c r="Z65" s="1567"/>
      <c r="AA65" s="1567"/>
    </row>
    <row r="66" spans="1:27" s="1568" customFormat="1" ht="11.25" customHeight="1">
      <c r="A66" s="1552"/>
      <c r="B66" s="1553">
        <v>46165</v>
      </c>
      <c r="C66" s="1585" t="s">
        <v>11</v>
      </c>
      <c r="D66" s="1555" t="s">
        <v>1488</v>
      </c>
      <c r="E66" s="1608">
        <v>39</v>
      </c>
      <c r="F66" s="1557" t="s">
        <v>125</v>
      </c>
      <c r="G66" s="1556" t="s">
        <v>145</v>
      </c>
      <c r="H66" s="1569"/>
      <c r="I66" s="1569"/>
      <c r="J66" s="1569"/>
      <c r="K66" s="1560">
        <v>2356.5</v>
      </c>
      <c r="L66" s="1561"/>
      <c r="M66" s="1562"/>
      <c r="N66" s="1563">
        <f t="shared" si="4"/>
        <v>324737.43000000017</v>
      </c>
      <c r="O66" s="1563"/>
      <c r="P66" s="1564"/>
      <c r="Q66" s="1565"/>
      <c r="R66" s="1565"/>
      <c r="S66" s="1566"/>
      <c r="T66" s="1567"/>
      <c r="U66" s="1567"/>
      <c r="V66" s="1567"/>
      <c r="W66" s="1567"/>
      <c r="X66" s="1567"/>
      <c r="Y66" s="1567"/>
      <c r="Z66" s="1567"/>
      <c r="AA66" s="1567"/>
    </row>
    <row r="67" spans="1:27" s="1568" customFormat="1" ht="11.25" customHeight="1">
      <c r="A67" s="1552"/>
      <c r="B67" s="1553">
        <v>46165</v>
      </c>
      <c r="C67" s="1585" t="s">
        <v>116</v>
      </c>
      <c r="D67" s="1555" t="s">
        <v>1488</v>
      </c>
      <c r="E67" s="1608">
        <v>40</v>
      </c>
      <c r="F67" s="1557" t="s">
        <v>19</v>
      </c>
      <c r="G67" s="1556" t="s">
        <v>1498</v>
      </c>
      <c r="H67" s="1569"/>
      <c r="I67" s="1570"/>
      <c r="J67" s="1569"/>
      <c r="K67" s="1560">
        <v>124.49</v>
      </c>
      <c r="L67" s="1561">
        <f>SUM(K65:K67)</f>
        <v>8390.17</v>
      </c>
      <c r="M67" s="1562"/>
      <c r="N67" s="1563">
        <f t="shared" si="4"/>
        <v>324612.94000000018</v>
      </c>
      <c r="O67" s="1563"/>
      <c r="P67" s="1564"/>
      <c r="Q67" s="1565"/>
      <c r="R67" s="1565"/>
      <c r="S67" s="1566"/>
      <c r="T67" s="1567"/>
      <c r="U67" s="1567"/>
      <c r="V67" s="1567"/>
      <c r="W67" s="1567"/>
      <c r="X67" s="1567"/>
      <c r="Y67" s="1567"/>
      <c r="Z67" s="1567"/>
      <c r="AA67" s="1567"/>
    </row>
    <row r="68" spans="1:27" s="1568" customFormat="1" ht="11.25" customHeight="1">
      <c r="A68" s="1552"/>
      <c r="B68" s="1553">
        <v>46165</v>
      </c>
      <c r="C68" s="1585" t="s">
        <v>1429</v>
      </c>
      <c r="D68" s="1555" t="s">
        <v>1503</v>
      </c>
      <c r="E68" s="1608">
        <v>41</v>
      </c>
      <c r="F68" s="1557" t="s">
        <v>13</v>
      </c>
      <c r="G68" s="1556" t="s">
        <v>14</v>
      </c>
      <c r="H68" s="1569"/>
      <c r="I68" s="1570"/>
      <c r="J68" s="1569"/>
      <c r="K68" s="1560">
        <v>4586</v>
      </c>
      <c r="L68" s="1561"/>
      <c r="M68" s="1562"/>
      <c r="N68" s="1563">
        <f t="shared" si="4"/>
        <v>320026.94000000018</v>
      </c>
      <c r="O68" s="1563"/>
      <c r="P68" s="1564"/>
      <c r="Q68" s="1565"/>
      <c r="R68" s="1565"/>
      <c r="S68" s="1566"/>
      <c r="T68" s="1567"/>
      <c r="U68" s="1567"/>
      <c r="V68" s="1567"/>
      <c r="W68" s="1567"/>
      <c r="X68" s="1567"/>
      <c r="Y68" s="1567"/>
      <c r="Z68" s="1567"/>
      <c r="AA68" s="1567"/>
    </row>
    <row r="69" spans="1:27" s="1568" customFormat="1" ht="11.25" customHeight="1">
      <c r="A69" s="1552"/>
      <c r="B69" s="1553">
        <v>46165</v>
      </c>
      <c r="C69" s="1585" t="s">
        <v>11</v>
      </c>
      <c r="D69" s="1555" t="s">
        <v>1503</v>
      </c>
      <c r="E69" s="1608">
        <v>42</v>
      </c>
      <c r="F69" s="1557" t="s">
        <v>125</v>
      </c>
      <c r="G69" s="1556" t="s">
        <v>145</v>
      </c>
      <c r="H69" s="1569"/>
      <c r="I69" s="1570"/>
      <c r="J69" s="1569"/>
      <c r="K69" s="1560">
        <v>806</v>
      </c>
      <c r="L69" s="1561"/>
      <c r="M69" s="1562"/>
      <c r="N69" s="1563">
        <f t="shared" si="4"/>
        <v>319220.94000000018</v>
      </c>
      <c r="O69" s="1563"/>
      <c r="P69" s="1564"/>
      <c r="Q69" s="1565"/>
      <c r="R69" s="1565"/>
      <c r="S69" s="1566"/>
      <c r="T69" s="1567"/>
      <c r="U69" s="1567"/>
      <c r="V69" s="1567"/>
      <c r="W69" s="1567"/>
      <c r="X69" s="1567"/>
      <c r="Y69" s="1567"/>
      <c r="Z69" s="1567"/>
      <c r="AA69" s="1567"/>
    </row>
    <row r="70" spans="1:27" s="1568" customFormat="1" ht="11.25" customHeight="1">
      <c r="A70" s="1552"/>
      <c r="B70" s="1553">
        <v>46165</v>
      </c>
      <c r="C70" s="1585" t="s">
        <v>1477</v>
      </c>
      <c r="D70" s="1555" t="s">
        <v>1503</v>
      </c>
      <c r="E70" s="1608">
        <v>43</v>
      </c>
      <c r="F70" s="1557" t="s">
        <v>146</v>
      </c>
      <c r="G70" s="1556" t="s">
        <v>147</v>
      </c>
      <c r="H70" s="1569"/>
      <c r="I70" s="1570"/>
      <c r="J70" s="1569"/>
      <c r="K70" s="1560">
        <v>833.46</v>
      </c>
      <c r="L70" s="1561"/>
      <c r="M70" s="1562"/>
      <c r="N70" s="1563">
        <f t="shared" si="4"/>
        <v>318387.48000000016</v>
      </c>
      <c r="O70" s="1563"/>
      <c r="P70" s="1564"/>
      <c r="Q70" s="1565"/>
      <c r="R70" s="1565"/>
      <c r="S70" s="1566"/>
      <c r="T70" s="1567"/>
      <c r="U70" s="1567"/>
      <c r="V70" s="1567"/>
      <c r="W70" s="1567"/>
      <c r="X70" s="1567"/>
      <c r="Y70" s="1567"/>
      <c r="Z70" s="1567"/>
      <c r="AA70" s="1567"/>
    </row>
    <row r="71" spans="1:27" s="1568" customFormat="1" ht="11.25" customHeight="1">
      <c r="A71" s="1552"/>
      <c r="B71" s="1553">
        <v>46165</v>
      </c>
      <c r="C71" s="1585" t="s">
        <v>19</v>
      </c>
      <c r="D71" s="1555" t="s">
        <v>1503</v>
      </c>
      <c r="E71" s="1608">
        <v>44</v>
      </c>
      <c r="F71" s="1557" t="s">
        <v>19</v>
      </c>
      <c r="G71" s="1556" t="s">
        <v>1498</v>
      </c>
      <c r="H71" s="1569"/>
      <c r="I71" s="1570"/>
      <c r="J71" s="1569"/>
      <c r="K71" s="1560">
        <v>300</v>
      </c>
      <c r="L71" s="1561">
        <f>SUM(K68:K71)</f>
        <v>6525.46</v>
      </c>
      <c r="M71" s="1562"/>
      <c r="N71" s="1563">
        <f t="shared" si="4"/>
        <v>318087.48000000016</v>
      </c>
      <c r="O71" s="1563"/>
      <c r="P71" s="1564"/>
      <c r="Q71" s="1565"/>
      <c r="R71" s="1565"/>
      <c r="S71" s="1566"/>
      <c r="T71" s="1567"/>
      <c r="U71" s="1567"/>
      <c r="V71" s="1567"/>
      <c r="W71" s="1567"/>
      <c r="X71" s="1567"/>
      <c r="Y71" s="1567"/>
      <c r="Z71" s="1567"/>
      <c r="AA71" s="1567"/>
    </row>
    <row r="72" spans="1:27" s="1568" customFormat="1" ht="11.25" customHeight="1">
      <c r="A72" s="1552"/>
      <c r="B72" s="1553">
        <v>46165</v>
      </c>
      <c r="C72" s="1586" t="s">
        <v>250</v>
      </c>
      <c r="D72" s="1555" t="s">
        <v>1503</v>
      </c>
      <c r="E72" s="1608">
        <v>45</v>
      </c>
      <c r="F72" s="1557" t="s">
        <v>107</v>
      </c>
      <c r="G72" s="1556"/>
      <c r="H72" s="1569"/>
      <c r="I72" s="1570"/>
      <c r="J72" s="1569"/>
      <c r="K72" s="1560">
        <v>3.6</v>
      </c>
      <c r="L72" s="1561"/>
      <c r="M72" s="1562"/>
      <c r="N72" s="1563">
        <f t="shared" si="4"/>
        <v>318083.88000000018</v>
      </c>
      <c r="O72" s="1563"/>
      <c r="P72" s="1564"/>
      <c r="Q72" s="1565"/>
      <c r="R72" s="1565"/>
      <c r="S72" s="1566"/>
      <c r="T72" s="1567"/>
      <c r="U72" s="1567"/>
      <c r="V72" s="1567"/>
      <c r="W72" s="1567"/>
      <c r="X72" s="1567"/>
      <c r="Y72" s="1567"/>
      <c r="Z72" s="1567"/>
      <c r="AA72" s="1567"/>
    </row>
    <row r="73" spans="1:27" s="1568" customFormat="1" ht="11.25" customHeight="1">
      <c r="A73" s="1552"/>
      <c r="B73" s="1553">
        <v>46165</v>
      </c>
      <c r="C73" s="1554" t="s">
        <v>1432</v>
      </c>
      <c r="D73" s="1555" t="s">
        <v>1418</v>
      </c>
      <c r="E73" s="1608">
        <v>46</v>
      </c>
      <c r="F73" s="1557" t="s">
        <v>146</v>
      </c>
      <c r="G73" s="1556" t="s">
        <v>147</v>
      </c>
      <c r="H73" s="1569"/>
      <c r="I73" s="1569"/>
      <c r="J73" s="1569"/>
      <c r="K73" s="1560">
        <v>3362</v>
      </c>
      <c r="L73" s="1561"/>
      <c r="M73" s="1562"/>
      <c r="N73" s="1563">
        <f t="shared" si="4"/>
        <v>314721.88000000018</v>
      </c>
      <c r="O73" s="1563"/>
      <c r="P73" s="1564"/>
      <c r="Q73" s="1565"/>
      <c r="R73" s="1565"/>
      <c r="S73" s="1566"/>
      <c r="T73" s="1567"/>
      <c r="U73" s="1567"/>
      <c r="V73" s="1567"/>
      <c r="W73" s="1567"/>
      <c r="X73" s="1567"/>
      <c r="Y73" s="1567"/>
      <c r="Z73" s="1567"/>
      <c r="AA73" s="1567"/>
    </row>
    <row r="74" spans="1:27" s="1568" customFormat="1" ht="11.25" customHeight="1">
      <c r="A74" s="1552"/>
      <c r="B74" s="1553">
        <v>46165</v>
      </c>
      <c r="C74" s="1554" t="s">
        <v>1433</v>
      </c>
      <c r="D74" s="1555" t="s">
        <v>1418</v>
      </c>
      <c r="E74" s="1608">
        <v>47</v>
      </c>
      <c r="F74" s="1557" t="s">
        <v>146</v>
      </c>
      <c r="G74" s="1556" t="s">
        <v>147</v>
      </c>
      <c r="H74" s="1569"/>
      <c r="I74" s="1570"/>
      <c r="J74" s="1569"/>
      <c r="K74" s="1560">
        <v>219</v>
      </c>
      <c r="L74" s="1561"/>
      <c r="M74" s="1562"/>
      <c r="N74" s="1563">
        <f t="shared" si="4"/>
        <v>314502.88000000018</v>
      </c>
      <c r="O74" s="1563"/>
      <c r="P74" s="1564"/>
      <c r="Q74" s="1565"/>
      <c r="R74" s="1565"/>
      <c r="S74" s="1566"/>
      <c r="T74" s="1567"/>
      <c r="U74" s="1567"/>
      <c r="V74" s="1567"/>
      <c r="W74" s="1567"/>
      <c r="X74" s="1567"/>
      <c r="Y74" s="1567"/>
      <c r="Z74" s="1567"/>
      <c r="AA74" s="1567"/>
    </row>
    <row r="75" spans="1:27" s="1568" customFormat="1" ht="11.25" customHeight="1">
      <c r="A75" s="1552"/>
      <c r="B75" s="1553">
        <v>46165</v>
      </c>
      <c r="C75" s="1554" t="s">
        <v>1434</v>
      </c>
      <c r="D75" s="1555" t="s">
        <v>1418</v>
      </c>
      <c r="E75" s="1608">
        <v>48</v>
      </c>
      <c r="F75" s="1557" t="s">
        <v>146</v>
      </c>
      <c r="G75" s="1556" t="s">
        <v>147</v>
      </c>
      <c r="H75" s="1569"/>
      <c r="I75" s="1570"/>
      <c r="J75" s="1569"/>
      <c r="K75" s="1560">
        <v>829.89</v>
      </c>
      <c r="L75" s="1561">
        <f>SUM(K73:K75)</f>
        <v>4410.8900000000003</v>
      </c>
      <c r="M75" s="1562"/>
      <c r="N75" s="1563">
        <f t="shared" si="4"/>
        <v>313672.99000000017</v>
      </c>
      <c r="O75" s="1563"/>
      <c r="P75" s="1564"/>
      <c r="Q75" s="1565"/>
      <c r="R75" s="1565"/>
      <c r="S75" s="1566"/>
      <c r="T75" s="1567"/>
      <c r="U75" s="1567"/>
      <c r="V75" s="1567"/>
      <c r="W75" s="1567"/>
      <c r="X75" s="1567"/>
      <c r="Y75" s="1567"/>
      <c r="Z75" s="1567"/>
      <c r="AA75" s="1567"/>
    </row>
    <row r="76" spans="1:27" s="1568" customFormat="1" ht="11.25" customHeight="1">
      <c r="A76" s="1552"/>
      <c r="B76" s="1553">
        <v>46165</v>
      </c>
      <c r="C76" s="1554" t="s">
        <v>1492</v>
      </c>
      <c r="D76" s="1555" t="s">
        <v>1418</v>
      </c>
      <c r="E76" s="1608">
        <v>49</v>
      </c>
      <c r="F76" s="1557" t="s">
        <v>107</v>
      </c>
      <c r="G76" s="1556"/>
      <c r="H76" s="1569"/>
      <c r="I76" s="1570"/>
      <c r="J76" s="1569"/>
      <c r="K76" s="1560">
        <v>3.6</v>
      </c>
      <c r="L76" s="1561"/>
      <c r="M76" s="1562"/>
      <c r="N76" s="1563">
        <f t="shared" si="4"/>
        <v>313669.39000000019</v>
      </c>
      <c r="O76" s="1563"/>
      <c r="P76" s="1564"/>
      <c r="Q76" s="1565"/>
      <c r="R76" s="1565"/>
      <c r="S76" s="1566"/>
      <c r="T76" s="1567"/>
      <c r="U76" s="1567"/>
      <c r="V76" s="1567"/>
      <c r="W76" s="1567"/>
      <c r="X76" s="1567"/>
      <c r="Y76" s="1567"/>
      <c r="Z76" s="1567"/>
      <c r="AA76" s="1567"/>
    </row>
    <row r="77" spans="1:27" s="1568" customFormat="1" ht="11.25" customHeight="1">
      <c r="A77" s="1552"/>
      <c r="B77" s="1553">
        <v>46165</v>
      </c>
      <c r="C77" s="1554" t="s">
        <v>1434</v>
      </c>
      <c r="D77" s="1555" t="s">
        <v>1419</v>
      </c>
      <c r="E77" s="1608">
        <v>50</v>
      </c>
      <c r="F77" s="1557" t="s">
        <v>146</v>
      </c>
      <c r="G77" s="1556" t="s">
        <v>147</v>
      </c>
      <c r="H77" s="1558"/>
      <c r="I77" s="1559"/>
      <c r="J77" s="1559"/>
      <c r="K77" s="1560">
        <v>974</v>
      </c>
      <c r="L77" s="1561"/>
      <c r="M77" s="1562"/>
      <c r="N77" s="1563">
        <f t="shared" si="4"/>
        <v>312695.39000000019</v>
      </c>
      <c r="O77" s="1563"/>
      <c r="P77" s="1564"/>
      <c r="Q77" s="1565"/>
      <c r="R77" s="1565"/>
      <c r="S77" s="1566"/>
      <c r="T77" s="1567"/>
      <c r="U77" s="1567"/>
      <c r="V77" s="1567"/>
      <c r="W77" s="1567"/>
      <c r="X77" s="1567"/>
      <c r="Y77" s="1567"/>
      <c r="Z77" s="1567"/>
      <c r="AA77" s="1567"/>
    </row>
    <row r="78" spans="1:27" s="1568" customFormat="1" ht="11.25" customHeight="1">
      <c r="A78" s="1552"/>
      <c r="B78" s="1553">
        <v>46165</v>
      </c>
      <c r="C78" s="1554" t="s">
        <v>1432</v>
      </c>
      <c r="D78" s="1555" t="s">
        <v>1419</v>
      </c>
      <c r="E78" s="1608">
        <v>51</v>
      </c>
      <c r="F78" s="1557" t="s">
        <v>146</v>
      </c>
      <c r="G78" s="1556" t="s">
        <v>147</v>
      </c>
      <c r="H78" s="1558"/>
      <c r="I78" s="1559"/>
      <c r="J78" s="1559"/>
      <c r="K78" s="1560">
        <v>2837</v>
      </c>
      <c r="L78" s="1561"/>
      <c r="M78" s="1562"/>
      <c r="N78" s="1563">
        <f t="shared" si="4"/>
        <v>309858.39000000019</v>
      </c>
      <c r="O78" s="1563"/>
      <c r="P78" s="1564"/>
      <c r="Q78" s="1565"/>
      <c r="R78" s="1565"/>
      <c r="S78" s="1566"/>
      <c r="T78" s="1567"/>
      <c r="U78" s="1567"/>
      <c r="V78" s="1567"/>
      <c r="W78" s="1567"/>
      <c r="X78" s="1567"/>
      <c r="Y78" s="1567"/>
      <c r="Z78" s="1567"/>
      <c r="AA78" s="1567"/>
    </row>
    <row r="79" spans="1:27" s="1568" customFormat="1" ht="11.25" customHeight="1">
      <c r="A79" s="1552"/>
      <c r="B79" s="1553">
        <v>46165</v>
      </c>
      <c r="C79" s="1554" t="s">
        <v>1433</v>
      </c>
      <c r="D79" s="1555" t="s">
        <v>1419</v>
      </c>
      <c r="E79" s="1608">
        <v>52</v>
      </c>
      <c r="F79" s="1557" t="s">
        <v>146</v>
      </c>
      <c r="G79" s="1556" t="s">
        <v>147</v>
      </c>
      <c r="H79" s="1558"/>
      <c r="I79" s="1559"/>
      <c r="J79" s="1559"/>
      <c r="K79" s="1560">
        <v>170</v>
      </c>
      <c r="L79" s="1561">
        <f>SUM(K77:K79)</f>
        <v>3981</v>
      </c>
      <c r="M79" s="1562"/>
      <c r="N79" s="1563">
        <f t="shared" si="4"/>
        <v>309688.39000000019</v>
      </c>
      <c r="O79" s="1563"/>
      <c r="P79" s="1564"/>
      <c r="Q79" s="1565"/>
      <c r="R79" s="1565"/>
      <c r="S79" s="1566"/>
      <c r="T79" s="1567"/>
      <c r="U79" s="1567"/>
      <c r="V79" s="1567"/>
      <c r="W79" s="1567"/>
      <c r="X79" s="1567"/>
      <c r="Y79" s="1567"/>
      <c r="Z79" s="1567"/>
      <c r="AA79" s="1567"/>
    </row>
    <row r="80" spans="1:27" s="1568" customFormat="1" ht="11.25" customHeight="1">
      <c r="A80" s="1552"/>
      <c r="B80" s="1553">
        <v>46165</v>
      </c>
      <c r="C80" s="1554" t="s">
        <v>1492</v>
      </c>
      <c r="D80" s="1555" t="s">
        <v>1419</v>
      </c>
      <c r="E80" s="1608">
        <v>53</v>
      </c>
      <c r="F80" s="1557" t="s">
        <v>107</v>
      </c>
      <c r="G80" s="1556"/>
      <c r="H80" s="1558"/>
      <c r="I80" s="1559"/>
      <c r="J80" s="1559"/>
      <c r="K80" s="1560">
        <v>3.6</v>
      </c>
      <c r="L80" s="1561"/>
      <c r="M80" s="1562"/>
      <c r="N80" s="1563">
        <f t="shared" si="4"/>
        <v>309684.79000000021</v>
      </c>
      <c r="O80" s="1563"/>
      <c r="P80" s="1564"/>
      <c r="Q80" s="1565"/>
      <c r="R80" s="1565"/>
      <c r="S80" s="1566"/>
      <c r="T80" s="1567"/>
      <c r="U80" s="1567"/>
      <c r="V80" s="1567"/>
      <c r="W80" s="1567"/>
      <c r="X80" s="1567"/>
      <c r="Y80" s="1567"/>
      <c r="Z80" s="1567"/>
      <c r="AA80" s="1567"/>
    </row>
    <row r="81" spans="1:27" s="1568" customFormat="1" ht="11.25" customHeight="1">
      <c r="A81" s="1552"/>
      <c r="B81" s="1553">
        <v>46165</v>
      </c>
      <c r="C81" s="1554" t="s">
        <v>1432</v>
      </c>
      <c r="D81" s="1555" t="s">
        <v>1485</v>
      </c>
      <c r="E81" s="1608">
        <v>54</v>
      </c>
      <c r="F81" s="1557" t="s">
        <v>146</v>
      </c>
      <c r="G81" s="1556" t="s">
        <v>147</v>
      </c>
      <c r="H81" s="1558"/>
      <c r="I81" s="1559"/>
      <c r="J81" s="1559"/>
      <c r="K81" s="1560">
        <v>1945</v>
      </c>
      <c r="L81" s="1561"/>
      <c r="M81" s="1562"/>
      <c r="N81" s="1563">
        <f t="shared" si="4"/>
        <v>307739.79000000021</v>
      </c>
      <c r="O81" s="1563"/>
      <c r="P81" s="1564"/>
      <c r="Q81" s="1565"/>
      <c r="R81" s="1565"/>
      <c r="S81" s="1566"/>
      <c r="T81" s="1567"/>
      <c r="U81" s="1567"/>
      <c r="V81" s="1567"/>
      <c r="W81" s="1567"/>
      <c r="X81" s="1567"/>
      <c r="Y81" s="1567"/>
      <c r="Z81" s="1567"/>
      <c r="AA81" s="1567"/>
    </row>
    <row r="82" spans="1:27" s="1568" customFormat="1" ht="11.25" customHeight="1">
      <c r="A82" s="1552"/>
      <c r="B82" s="1553">
        <v>46165</v>
      </c>
      <c r="C82" s="1554" t="s">
        <v>1434</v>
      </c>
      <c r="D82" s="1555" t="s">
        <v>1485</v>
      </c>
      <c r="E82" s="1608">
        <v>55</v>
      </c>
      <c r="F82" s="1557" t="s">
        <v>146</v>
      </c>
      <c r="G82" s="1556" t="s">
        <v>147</v>
      </c>
      <c r="H82" s="1558"/>
      <c r="I82" s="1559"/>
      <c r="J82" s="1559"/>
      <c r="K82" s="1560">
        <v>508</v>
      </c>
      <c r="L82" s="1561"/>
      <c r="M82" s="1562"/>
      <c r="N82" s="1563">
        <f t="shared" si="4"/>
        <v>307231.79000000021</v>
      </c>
      <c r="O82" s="1563"/>
      <c r="P82" s="1564"/>
      <c r="Q82" s="1565"/>
      <c r="R82" s="1565"/>
      <c r="S82" s="1566"/>
      <c r="T82" s="1567"/>
      <c r="U82" s="1567"/>
      <c r="V82" s="1567"/>
      <c r="W82" s="1567"/>
      <c r="X82" s="1567"/>
      <c r="Y82" s="1567"/>
      <c r="Z82" s="1567"/>
      <c r="AA82" s="1567"/>
    </row>
    <row r="83" spans="1:27" s="1568" customFormat="1" ht="11.25" customHeight="1">
      <c r="A83" s="1552"/>
      <c r="B83" s="1553">
        <v>46165</v>
      </c>
      <c r="C83" s="1554" t="s">
        <v>1433</v>
      </c>
      <c r="D83" s="1555" t="s">
        <v>1485</v>
      </c>
      <c r="E83" s="1608">
        <v>56</v>
      </c>
      <c r="F83" s="1557" t="s">
        <v>146</v>
      </c>
      <c r="G83" s="1556" t="s">
        <v>147</v>
      </c>
      <c r="H83" s="1558"/>
      <c r="I83" s="1559"/>
      <c r="J83" s="1559"/>
      <c r="K83" s="1560">
        <v>60</v>
      </c>
      <c r="L83" s="1561">
        <f>SUM(K81:K83)</f>
        <v>2513</v>
      </c>
      <c r="M83" s="1562"/>
      <c r="N83" s="1563">
        <f t="shared" si="4"/>
        <v>307171.79000000021</v>
      </c>
      <c r="O83" s="1563"/>
      <c r="P83" s="1564"/>
      <c r="Q83" s="1565"/>
      <c r="R83" s="1565"/>
      <c r="S83" s="1566"/>
      <c r="T83" s="1567"/>
      <c r="U83" s="1567"/>
      <c r="V83" s="1567"/>
      <c r="W83" s="1567"/>
      <c r="X83" s="1567"/>
      <c r="Y83" s="1567"/>
      <c r="Z83" s="1567"/>
      <c r="AA83" s="1567"/>
    </row>
    <row r="84" spans="1:27" s="1568" customFormat="1" ht="11.25" customHeight="1">
      <c r="A84" s="1552"/>
      <c r="B84" s="1553">
        <v>46165</v>
      </c>
      <c r="C84" s="1554" t="s">
        <v>1492</v>
      </c>
      <c r="D84" s="1555" t="s">
        <v>1485</v>
      </c>
      <c r="E84" s="1608">
        <v>57</v>
      </c>
      <c r="F84" s="1557" t="s">
        <v>107</v>
      </c>
      <c r="G84" s="1556"/>
      <c r="H84" s="1569"/>
      <c r="I84" s="1570"/>
      <c r="J84" s="1569"/>
      <c r="K84" s="1560">
        <v>3.6</v>
      </c>
      <c r="L84" s="1561"/>
      <c r="M84" s="1562"/>
      <c r="N84" s="1563">
        <f t="shared" si="4"/>
        <v>307168.19000000024</v>
      </c>
      <c r="O84" s="1563"/>
      <c r="P84" s="1564"/>
      <c r="Q84" s="1565"/>
      <c r="R84" s="1565"/>
      <c r="S84" s="1566"/>
      <c r="T84" s="1567"/>
      <c r="U84" s="1567"/>
      <c r="V84" s="1567"/>
      <c r="W84" s="1567"/>
      <c r="X84" s="1567"/>
      <c r="Y84" s="1567"/>
      <c r="Z84" s="1567"/>
      <c r="AA84" s="1567"/>
    </row>
    <row r="85" spans="1:27" s="1568" customFormat="1" ht="11.25" customHeight="1">
      <c r="A85" s="1552"/>
      <c r="B85" s="1553">
        <v>46165</v>
      </c>
      <c r="C85" s="1571" t="s">
        <v>1532</v>
      </c>
      <c r="D85" s="1555" t="s">
        <v>211</v>
      </c>
      <c r="E85" s="1608">
        <v>58</v>
      </c>
      <c r="F85" s="1557" t="s">
        <v>13</v>
      </c>
      <c r="G85" s="1556" t="s">
        <v>14</v>
      </c>
      <c r="H85" s="1569"/>
      <c r="I85" s="1570"/>
      <c r="J85" s="1569"/>
      <c r="K85" s="1560">
        <v>7964.29</v>
      </c>
      <c r="L85" s="1561"/>
      <c r="M85" s="1562"/>
      <c r="N85" s="1563">
        <f t="shared" si="4"/>
        <v>299203.90000000026</v>
      </c>
      <c r="O85" s="1563"/>
      <c r="P85" s="1564"/>
      <c r="Q85" s="1565"/>
      <c r="R85" s="1565"/>
      <c r="S85" s="1566"/>
      <c r="T85" s="1567"/>
      <c r="U85" s="1567"/>
      <c r="V85" s="1567"/>
      <c r="W85" s="1567"/>
      <c r="X85" s="1567"/>
      <c r="Y85" s="1567"/>
      <c r="Z85" s="1567"/>
      <c r="AA85" s="1567"/>
    </row>
    <row r="86" spans="1:27" s="1568" customFormat="1" ht="11.25" customHeight="1">
      <c r="A86" s="1552"/>
      <c r="B86" s="1553">
        <v>46165</v>
      </c>
      <c r="C86" s="1571" t="s">
        <v>19</v>
      </c>
      <c r="D86" s="1555" t="s">
        <v>211</v>
      </c>
      <c r="E86" s="1608">
        <v>59</v>
      </c>
      <c r="F86" s="1557" t="s">
        <v>19</v>
      </c>
      <c r="G86" s="1556" t="s">
        <v>1498</v>
      </c>
      <c r="H86" s="1569"/>
      <c r="I86" s="1570"/>
      <c r="J86" s="1569"/>
      <c r="K86" s="1560">
        <v>300</v>
      </c>
      <c r="L86" s="1561">
        <f>SUM(K85:K86)</f>
        <v>8264.2900000000009</v>
      </c>
      <c r="M86" s="1562"/>
      <c r="N86" s="1563">
        <f t="shared" si="4"/>
        <v>298903.90000000026</v>
      </c>
      <c r="O86" s="1563"/>
      <c r="P86" s="1564"/>
      <c r="Q86" s="1565"/>
      <c r="R86" s="1565"/>
      <c r="S86" s="1566"/>
      <c r="T86" s="1567"/>
      <c r="U86" s="1567"/>
      <c r="V86" s="1567"/>
      <c r="W86" s="1567"/>
      <c r="X86" s="1567"/>
      <c r="Y86" s="1567"/>
      <c r="Z86" s="1567"/>
      <c r="AA86" s="1567"/>
    </row>
    <row r="87" spans="1:27" s="1568" customFormat="1" ht="11.25" customHeight="1">
      <c r="A87" s="1552"/>
      <c r="B87" s="1553">
        <v>46165</v>
      </c>
      <c r="C87" s="1554" t="s">
        <v>250</v>
      </c>
      <c r="D87" s="1555" t="s">
        <v>211</v>
      </c>
      <c r="E87" s="1608">
        <v>60</v>
      </c>
      <c r="F87" s="1557" t="s">
        <v>107</v>
      </c>
      <c r="G87" s="1556"/>
      <c r="H87" s="1569"/>
      <c r="I87" s="1570"/>
      <c r="J87" s="1569"/>
      <c r="K87" s="1560">
        <v>3.6</v>
      </c>
      <c r="L87" s="1561"/>
      <c r="M87" s="1562"/>
      <c r="N87" s="1563">
        <f t="shared" si="4"/>
        <v>298900.30000000028</v>
      </c>
      <c r="O87" s="1563"/>
      <c r="P87" s="1564"/>
      <c r="Q87" s="1565"/>
      <c r="R87" s="1565"/>
      <c r="S87" s="1566"/>
      <c r="T87" s="1567"/>
      <c r="U87" s="1567"/>
      <c r="V87" s="1567"/>
      <c r="W87" s="1567"/>
      <c r="X87" s="1567"/>
      <c r="Y87" s="1567"/>
      <c r="Z87" s="1567"/>
      <c r="AA87" s="1567"/>
    </row>
    <row r="88" spans="1:27" s="1572" customFormat="1" ht="12" customHeight="1">
      <c r="A88" s="1552"/>
      <c r="B88" s="1553">
        <v>46165</v>
      </c>
      <c r="C88" s="1554" t="s">
        <v>1487</v>
      </c>
      <c r="D88" s="1555"/>
      <c r="E88" s="1608">
        <v>61</v>
      </c>
      <c r="F88" s="1557" t="s">
        <v>107</v>
      </c>
      <c r="G88" s="1556"/>
      <c r="H88" s="1569"/>
      <c r="I88" s="1570"/>
      <c r="J88" s="1569"/>
      <c r="K88" s="1560">
        <v>280937.55</v>
      </c>
      <c r="L88" s="1561"/>
      <c r="M88" s="1562"/>
      <c r="N88" s="1563">
        <f t="shared" si="4"/>
        <v>17962.750000000291</v>
      </c>
      <c r="O88" s="1563"/>
      <c r="P88" s="1564"/>
      <c r="Q88" s="1565"/>
      <c r="R88" s="1565"/>
      <c r="S88" s="1566"/>
      <c r="T88" s="1567"/>
      <c r="U88" s="1567"/>
      <c r="V88" s="1567"/>
      <c r="W88" s="1567"/>
      <c r="X88" s="1567"/>
      <c r="Y88" s="1567"/>
      <c r="Z88" s="1567"/>
      <c r="AA88" s="1567"/>
    </row>
    <row r="89" spans="1:27" s="1584" customFormat="1" ht="12" customHeight="1">
      <c r="A89" s="1573"/>
      <c r="B89" s="1574">
        <v>46165</v>
      </c>
      <c r="C89" s="1575" t="s">
        <v>1492</v>
      </c>
      <c r="D89" s="1576"/>
      <c r="E89" s="1610">
        <v>62</v>
      </c>
      <c r="F89" s="1578" t="s">
        <v>107</v>
      </c>
      <c r="G89" s="1577"/>
      <c r="H89" s="1579"/>
      <c r="I89" s="1580"/>
      <c r="J89" s="1579"/>
      <c r="K89" s="1560">
        <v>12</v>
      </c>
      <c r="L89" s="1561"/>
      <c r="M89" s="1562"/>
      <c r="N89" s="1563">
        <f t="shared" si="4"/>
        <v>17950.750000000291</v>
      </c>
      <c r="O89" s="1563"/>
      <c r="P89" s="1581"/>
      <c r="Q89" s="1582"/>
      <c r="R89" s="1582"/>
      <c r="S89" s="1566"/>
      <c r="T89" s="1583"/>
      <c r="U89" s="1583"/>
      <c r="V89" s="1583"/>
      <c r="W89" s="1583"/>
      <c r="X89" s="1583"/>
      <c r="Y89" s="1583"/>
      <c r="Z89" s="1583"/>
      <c r="AA89" s="1583"/>
    </row>
    <row r="90" spans="1:27" s="1327" customFormat="1" ht="11.25" customHeight="1">
      <c r="A90" s="1323"/>
      <c r="B90" s="1427"/>
      <c r="C90" s="1440"/>
      <c r="D90" s="1428"/>
      <c r="E90" s="1611"/>
      <c r="F90" s="1436"/>
      <c r="G90" s="1437"/>
      <c r="H90" s="1429"/>
      <c r="I90" s="1438"/>
      <c r="J90" s="1429"/>
      <c r="K90" s="1430"/>
      <c r="L90" s="1438"/>
      <c r="M90" s="1439"/>
      <c r="N90" s="1452">
        <f t="shared" si="4"/>
        <v>17950.750000000291</v>
      </c>
      <c r="O90" s="1431"/>
      <c r="P90" s="1432"/>
      <c r="Q90" s="1433"/>
      <c r="R90" s="1433"/>
      <c r="S90" s="1434"/>
      <c r="T90" s="1322"/>
      <c r="U90" s="1322"/>
      <c r="V90" s="1322"/>
      <c r="W90" s="1322"/>
      <c r="X90" s="1322"/>
      <c r="Y90" s="1322"/>
      <c r="Z90" s="1322"/>
      <c r="AA90" s="1322"/>
    </row>
  </sheetData>
  <autoFilter ref="B18:R90" xr:uid="{00000000-0009-0000-0000-000001000000}">
    <filterColumn colId="14" showButton="0"/>
    <sortState xmlns:xlrd2="http://schemas.microsoft.com/office/spreadsheetml/2017/richdata2" ref="B19:R90">
      <sortCondition sortBy="cellColor" ref="M18:M90" dxfId="0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35177" r:id="rId4">
          <objectPr defaultSize="0" r:id="rId5">
            <anchor moveWithCells="1">
              <from>
                <xdr:col>13</xdr:col>
                <xdr:colOff>95250</xdr:colOff>
                <xdr:row>1</xdr:row>
                <xdr:rowOff>0</xdr:rowOff>
              </from>
              <to>
                <xdr:col>14</xdr:col>
                <xdr:colOff>142875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35177" r:id="rId4"/>
      </mc:Fallback>
    </mc:AlternateContent>
  </oleObjec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7AD0-9BD6-4008-92A0-A47E48CE8BFC}">
  <sheetPr>
    <tabColor rgb="FF92D050"/>
    <pageSetUpPr fitToPage="1"/>
  </sheetPr>
  <dimension ref="A1:B115"/>
  <sheetViews>
    <sheetView showGridLines="0" zoomScale="80" zoomScaleNormal="80" zoomScaleSheetLayoutView="70" workbookViewId="0">
      <selection activeCell="H123" sqref="H123"/>
    </sheetView>
  </sheetViews>
  <sheetFormatPr defaultColWidth="9" defaultRowHeight="16.5"/>
  <cols>
    <col min="1" max="1" width="12.75" style="324" customWidth="1"/>
    <col min="2" max="6" width="9" style="324"/>
    <col min="7" max="7" width="41.5" style="324" bestFit="1" customWidth="1"/>
    <col min="8" max="11" width="9" style="324"/>
    <col min="12" max="12" width="9.25" style="324" customWidth="1"/>
    <col min="13" max="256" width="9" style="324"/>
    <col min="257" max="257" width="2.125" style="324" customWidth="1"/>
    <col min="258" max="512" width="9" style="324"/>
    <col min="513" max="513" width="2.125" style="324" customWidth="1"/>
    <col min="514" max="768" width="9" style="324"/>
    <col min="769" max="769" width="2.125" style="324" customWidth="1"/>
    <col min="770" max="1024" width="9" style="324"/>
    <col min="1025" max="1025" width="2.125" style="324" customWidth="1"/>
    <col min="1026" max="1280" width="9" style="324"/>
    <col min="1281" max="1281" width="2.125" style="324" customWidth="1"/>
    <col min="1282" max="1536" width="9" style="324"/>
    <col min="1537" max="1537" width="2.125" style="324" customWidth="1"/>
    <col min="1538" max="1792" width="9" style="324"/>
    <col min="1793" max="1793" width="2.125" style="324" customWidth="1"/>
    <col min="1794" max="2048" width="9" style="324"/>
    <col min="2049" max="2049" width="2.125" style="324" customWidth="1"/>
    <col min="2050" max="2304" width="9" style="324"/>
    <col min="2305" max="2305" width="2.125" style="324" customWidth="1"/>
    <col min="2306" max="2560" width="9" style="324"/>
    <col min="2561" max="2561" width="2.125" style="324" customWidth="1"/>
    <col min="2562" max="2816" width="9" style="324"/>
    <col min="2817" max="2817" width="2.125" style="324" customWidth="1"/>
    <col min="2818" max="3072" width="9" style="324"/>
    <col min="3073" max="3073" width="2.125" style="324" customWidth="1"/>
    <col min="3074" max="3328" width="9" style="324"/>
    <col min="3329" max="3329" width="2.125" style="324" customWidth="1"/>
    <col min="3330" max="3584" width="9" style="324"/>
    <col min="3585" max="3585" width="2.125" style="324" customWidth="1"/>
    <col min="3586" max="3840" width="9" style="324"/>
    <col min="3841" max="3841" width="2.125" style="324" customWidth="1"/>
    <col min="3842" max="4096" width="9" style="324"/>
    <col min="4097" max="4097" width="2.125" style="324" customWidth="1"/>
    <col min="4098" max="4352" width="9" style="324"/>
    <col min="4353" max="4353" width="2.125" style="324" customWidth="1"/>
    <col min="4354" max="4608" width="9" style="324"/>
    <col min="4609" max="4609" width="2.125" style="324" customWidth="1"/>
    <col min="4610" max="4864" width="9" style="324"/>
    <col min="4865" max="4865" width="2.125" style="324" customWidth="1"/>
    <col min="4866" max="5120" width="9" style="324"/>
    <col min="5121" max="5121" width="2.125" style="324" customWidth="1"/>
    <col min="5122" max="5376" width="9" style="324"/>
    <col min="5377" max="5377" width="2.125" style="324" customWidth="1"/>
    <col min="5378" max="5632" width="9" style="324"/>
    <col min="5633" max="5633" width="2.125" style="324" customWidth="1"/>
    <col min="5634" max="5888" width="9" style="324"/>
    <col min="5889" max="5889" width="2.125" style="324" customWidth="1"/>
    <col min="5890" max="6144" width="9" style="324"/>
    <col min="6145" max="6145" width="2.125" style="324" customWidth="1"/>
    <col min="6146" max="6400" width="9" style="324"/>
    <col min="6401" max="6401" width="2.125" style="324" customWidth="1"/>
    <col min="6402" max="6656" width="9" style="324"/>
    <col min="6657" max="6657" width="2.125" style="324" customWidth="1"/>
    <col min="6658" max="6912" width="9" style="324"/>
    <col min="6913" max="6913" width="2.125" style="324" customWidth="1"/>
    <col min="6914" max="7168" width="9" style="324"/>
    <col min="7169" max="7169" width="2.125" style="324" customWidth="1"/>
    <col min="7170" max="7424" width="9" style="324"/>
    <col min="7425" max="7425" width="2.125" style="324" customWidth="1"/>
    <col min="7426" max="7680" width="9" style="324"/>
    <col min="7681" max="7681" width="2.125" style="324" customWidth="1"/>
    <col min="7682" max="7936" width="9" style="324"/>
    <col min="7937" max="7937" width="2.125" style="324" customWidth="1"/>
    <col min="7938" max="8192" width="9" style="324"/>
    <col min="8193" max="8193" width="2.125" style="324" customWidth="1"/>
    <col min="8194" max="8448" width="9" style="324"/>
    <col min="8449" max="8449" width="2.125" style="324" customWidth="1"/>
    <col min="8450" max="8704" width="9" style="324"/>
    <col min="8705" max="8705" width="2.125" style="324" customWidth="1"/>
    <col min="8706" max="8960" width="9" style="324"/>
    <col min="8961" max="8961" width="2.125" style="324" customWidth="1"/>
    <col min="8962" max="9216" width="9" style="324"/>
    <col min="9217" max="9217" width="2.125" style="324" customWidth="1"/>
    <col min="9218" max="9472" width="9" style="324"/>
    <col min="9473" max="9473" width="2.125" style="324" customWidth="1"/>
    <col min="9474" max="9728" width="9" style="324"/>
    <col min="9729" max="9729" width="2.125" style="324" customWidth="1"/>
    <col min="9730" max="9984" width="9" style="324"/>
    <col min="9985" max="9985" width="2.125" style="324" customWidth="1"/>
    <col min="9986" max="10240" width="9" style="324"/>
    <col min="10241" max="10241" width="2.125" style="324" customWidth="1"/>
    <col min="10242" max="10496" width="9" style="324"/>
    <col min="10497" max="10497" width="2.125" style="324" customWidth="1"/>
    <col min="10498" max="10752" width="9" style="324"/>
    <col min="10753" max="10753" width="2.125" style="324" customWidth="1"/>
    <col min="10754" max="11008" width="9" style="324"/>
    <col min="11009" max="11009" width="2.125" style="324" customWidth="1"/>
    <col min="11010" max="11264" width="9" style="324"/>
    <col min="11265" max="11265" width="2.125" style="324" customWidth="1"/>
    <col min="11266" max="11520" width="9" style="324"/>
    <col min="11521" max="11521" width="2.125" style="324" customWidth="1"/>
    <col min="11522" max="11776" width="9" style="324"/>
    <col min="11777" max="11777" width="2.125" style="324" customWidth="1"/>
    <col min="11778" max="12032" width="9" style="324"/>
    <col min="12033" max="12033" width="2.125" style="324" customWidth="1"/>
    <col min="12034" max="12288" width="9" style="324"/>
    <col min="12289" max="12289" width="2.125" style="324" customWidth="1"/>
    <col min="12290" max="12544" width="9" style="324"/>
    <col min="12545" max="12545" width="2.125" style="324" customWidth="1"/>
    <col min="12546" max="12800" width="9" style="324"/>
    <col min="12801" max="12801" width="2.125" style="324" customWidth="1"/>
    <col min="12802" max="13056" width="9" style="324"/>
    <col min="13057" max="13057" width="2.125" style="324" customWidth="1"/>
    <col min="13058" max="13312" width="9" style="324"/>
    <col min="13313" max="13313" width="2.125" style="324" customWidth="1"/>
    <col min="13314" max="13568" width="9" style="324"/>
    <col min="13569" max="13569" width="2.125" style="324" customWidth="1"/>
    <col min="13570" max="13824" width="9" style="324"/>
    <col min="13825" max="13825" width="2.125" style="324" customWidth="1"/>
    <col min="13826" max="14080" width="9" style="324"/>
    <col min="14081" max="14081" width="2.125" style="324" customWidth="1"/>
    <col min="14082" max="14336" width="9" style="324"/>
    <col min="14337" max="14337" width="2.125" style="324" customWidth="1"/>
    <col min="14338" max="14592" width="9" style="324"/>
    <col min="14593" max="14593" width="2.125" style="324" customWidth="1"/>
    <col min="14594" max="14848" width="9" style="324"/>
    <col min="14849" max="14849" width="2.125" style="324" customWidth="1"/>
    <col min="14850" max="15104" width="9" style="324"/>
    <col min="15105" max="15105" width="2.125" style="324" customWidth="1"/>
    <col min="15106" max="15360" width="9" style="324"/>
    <col min="15361" max="15361" width="2.125" style="324" customWidth="1"/>
    <col min="15362" max="15616" width="9" style="324"/>
    <col min="15617" max="15617" width="2.125" style="324" customWidth="1"/>
    <col min="15618" max="15872" width="9" style="324"/>
    <col min="15873" max="15873" width="2.125" style="324" customWidth="1"/>
    <col min="15874" max="16128" width="9" style="324"/>
    <col min="16129" max="16129" width="2.125" style="324" customWidth="1"/>
    <col min="16130" max="16384" width="9" style="324"/>
  </cols>
  <sheetData>
    <row r="1" spans="2:2" ht="22.5" customHeight="1">
      <c r="B1" s="764"/>
    </row>
    <row r="22" spans="2:2">
      <c r="B22" s="764"/>
    </row>
    <row r="29" spans="2:2" ht="15.75" customHeight="1"/>
    <row r="38" ht="15.75" customHeight="1"/>
    <row r="79" spans="2:2">
      <c r="B79" s="764"/>
    </row>
    <row r="99" spans="2:2">
      <c r="B99" s="764"/>
    </row>
    <row r="115" spans="1:1">
      <c r="A115" s="764"/>
    </row>
  </sheetData>
  <phoneticPr fontId="11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dimension ref="B2:L47"/>
  <sheetViews>
    <sheetView zoomScale="80" zoomScaleNormal="80" workbookViewId="0">
      <selection activeCell="J28" sqref="J28"/>
    </sheetView>
  </sheetViews>
  <sheetFormatPr defaultColWidth="9" defaultRowHeight="13.5"/>
  <cols>
    <col min="1" max="1" width="3.75" style="1297" customWidth="1"/>
    <col min="2" max="2" width="8.125" style="1298" customWidth="1"/>
    <col min="3" max="3" width="8.25" style="1297" customWidth="1"/>
    <col min="4" max="4" width="11.125" style="1298" customWidth="1"/>
    <col min="5" max="5" width="12.25" style="1298" bestFit="1" customWidth="1"/>
    <col min="6" max="6" width="24.375" style="1298" customWidth="1"/>
    <col min="7" max="7" width="16.375" style="1306" customWidth="1"/>
    <col min="8" max="8" width="14.5" style="1297" bestFit="1" customWidth="1"/>
    <col min="9" max="9" width="25.625" style="1297" customWidth="1"/>
    <col min="10" max="10" width="14.875" style="1297" customWidth="1"/>
    <col min="11" max="11" width="47.75" style="1297" bestFit="1" customWidth="1"/>
    <col min="12" max="12" width="62.75" style="1297" bestFit="1" customWidth="1"/>
    <col min="13" max="250" width="9" style="1297"/>
    <col min="251" max="251" width="3.75" style="1297" customWidth="1"/>
    <col min="252" max="506" width="9" style="1297"/>
    <col min="507" max="507" width="3.75" style="1297" customWidth="1"/>
    <col min="508" max="762" width="9" style="1297"/>
    <col min="763" max="763" width="3.75" style="1297" customWidth="1"/>
    <col min="764" max="1018" width="9" style="1297"/>
    <col min="1019" max="1019" width="3.75" style="1297" customWidth="1"/>
    <col min="1020" max="1274" width="9" style="1297"/>
    <col min="1275" max="1275" width="3.75" style="1297" customWidth="1"/>
    <col min="1276" max="1530" width="9" style="1297"/>
    <col min="1531" max="1531" width="3.75" style="1297" customWidth="1"/>
    <col min="1532" max="1786" width="9" style="1297"/>
    <col min="1787" max="1787" width="3.75" style="1297" customWidth="1"/>
    <col min="1788" max="2042" width="9" style="1297"/>
    <col min="2043" max="2043" width="3.75" style="1297" customWidth="1"/>
    <col min="2044" max="2298" width="9" style="1297"/>
    <col min="2299" max="2299" width="3.75" style="1297" customWidth="1"/>
    <col min="2300" max="2554" width="9" style="1297"/>
    <col min="2555" max="2555" width="3.75" style="1297" customWidth="1"/>
    <col min="2556" max="2810" width="9" style="1297"/>
    <col min="2811" max="2811" width="3.75" style="1297" customWidth="1"/>
    <col min="2812" max="3066" width="9" style="1297"/>
    <col min="3067" max="3067" width="3.75" style="1297" customWidth="1"/>
    <col min="3068" max="3322" width="9" style="1297"/>
    <col min="3323" max="3323" width="3.75" style="1297" customWidth="1"/>
    <col min="3324" max="3578" width="9" style="1297"/>
    <col min="3579" max="3579" width="3.75" style="1297" customWidth="1"/>
    <col min="3580" max="3834" width="9" style="1297"/>
    <col min="3835" max="3835" width="3.75" style="1297" customWidth="1"/>
    <col min="3836" max="4090" width="9" style="1297"/>
    <col min="4091" max="4091" width="3.75" style="1297" customWidth="1"/>
    <col min="4092" max="4346" width="9" style="1297"/>
    <col min="4347" max="4347" width="3.75" style="1297" customWidth="1"/>
    <col min="4348" max="4602" width="9" style="1297"/>
    <col min="4603" max="4603" width="3.75" style="1297" customWidth="1"/>
    <col min="4604" max="4858" width="9" style="1297"/>
    <col min="4859" max="4859" width="3.75" style="1297" customWidth="1"/>
    <col min="4860" max="5114" width="9" style="1297"/>
    <col min="5115" max="5115" width="3.75" style="1297" customWidth="1"/>
    <col min="5116" max="5370" width="9" style="1297"/>
    <col min="5371" max="5371" width="3.75" style="1297" customWidth="1"/>
    <col min="5372" max="5626" width="9" style="1297"/>
    <col min="5627" max="5627" width="3.75" style="1297" customWidth="1"/>
    <col min="5628" max="5882" width="9" style="1297"/>
    <col min="5883" max="5883" width="3.75" style="1297" customWidth="1"/>
    <col min="5884" max="6138" width="9" style="1297"/>
    <col min="6139" max="6139" width="3.75" style="1297" customWidth="1"/>
    <col min="6140" max="6394" width="9" style="1297"/>
    <col min="6395" max="6395" width="3.75" style="1297" customWidth="1"/>
    <col min="6396" max="6650" width="9" style="1297"/>
    <col min="6651" max="6651" width="3.75" style="1297" customWidth="1"/>
    <col min="6652" max="6906" width="9" style="1297"/>
    <col min="6907" max="6907" width="3.75" style="1297" customWidth="1"/>
    <col min="6908" max="7162" width="9" style="1297"/>
    <col min="7163" max="7163" width="3.75" style="1297" customWidth="1"/>
    <col min="7164" max="7418" width="9" style="1297"/>
    <col min="7419" max="7419" width="3.75" style="1297" customWidth="1"/>
    <col min="7420" max="7674" width="9" style="1297"/>
    <col min="7675" max="7675" width="3.75" style="1297" customWidth="1"/>
    <col min="7676" max="7930" width="9" style="1297"/>
    <col min="7931" max="7931" width="3.75" style="1297" customWidth="1"/>
    <col min="7932" max="8186" width="9" style="1297"/>
    <col min="8187" max="8187" width="3.75" style="1297" customWidth="1"/>
    <col min="8188" max="8442" width="9" style="1297"/>
    <col min="8443" max="8443" width="3.75" style="1297" customWidth="1"/>
    <col min="8444" max="8698" width="9" style="1297"/>
    <col min="8699" max="8699" width="3.75" style="1297" customWidth="1"/>
    <col min="8700" max="8954" width="9" style="1297"/>
    <col min="8955" max="8955" width="3.75" style="1297" customWidth="1"/>
    <col min="8956" max="9210" width="9" style="1297"/>
    <col min="9211" max="9211" width="3.75" style="1297" customWidth="1"/>
    <col min="9212" max="9466" width="9" style="1297"/>
    <col min="9467" max="9467" width="3.75" style="1297" customWidth="1"/>
    <col min="9468" max="9722" width="9" style="1297"/>
    <col min="9723" max="9723" width="3.75" style="1297" customWidth="1"/>
    <col min="9724" max="9978" width="9" style="1297"/>
    <col min="9979" max="9979" width="3.75" style="1297" customWidth="1"/>
    <col min="9980" max="10234" width="9" style="1297"/>
    <col min="10235" max="10235" width="3.75" style="1297" customWidth="1"/>
    <col min="10236" max="10490" width="9" style="1297"/>
    <col min="10491" max="10491" width="3.75" style="1297" customWidth="1"/>
    <col min="10492" max="10746" width="9" style="1297"/>
    <col min="10747" max="10747" width="3.75" style="1297" customWidth="1"/>
    <col min="10748" max="11002" width="9" style="1297"/>
    <col min="11003" max="11003" width="3.75" style="1297" customWidth="1"/>
    <col min="11004" max="11258" width="9" style="1297"/>
    <col min="11259" max="11259" width="3.75" style="1297" customWidth="1"/>
    <col min="11260" max="11514" width="9" style="1297"/>
    <col min="11515" max="11515" width="3.75" style="1297" customWidth="1"/>
    <col min="11516" max="11770" width="9" style="1297"/>
    <col min="11771" max="11771" width="3.75" style="1297" customWidth="1"/>
    <col min="11772" max="12026" width="9" style="1297"/>
    <col min="12027" max="12027" width="3.75" style="1297" customWidth="1"/>
    <col min="12028" max="12282" width="9" style="1297"/>
    <col min="12283" max="12283" width="3.75" style="1297" customWidth="1"/>
    <col min="12284" max="12538" width="9" style="1297"/>
    <col min="12539" max="12539" width="3.75" style="1297" customWidth="1"/>
    <col min="12540" max="12794" width="9" style="1297"/>
    <col min="12795" max="12795" width="3.75" style="1297" customWidth="1"/>
    <col min="12796" max="13050" width="9" style="1297"/>
    <col min="13051" max="13051" width="3.75" style="1297" customWidth="1"/>
    <col min="13052" max="13306" width="9" style="1297"/>
    <col min="13307" max="13307" width="3.75" style="1297" customWidth="1"/>
    <col min="13308" max="13562" width="9" style="1297"/>
    <col min="13563" max="13563" width="3.75" style="1297" customWidth="1"/>
    <col min="13564" max="13818" width="9" style="1297"/>
    <col min="13819" max="13819" width="3.75" style="1297" customWidth="1"/>
    <col min="13820" max="14074" width="9" style="1297"/>
    <col min="14075" max="14075" width="3.75" style="1297" customWidth="1"/>
    <col min="14076" max="14330" width="9" style="1297"/>
    <col min="14331" max="14331" width="3.75" style="1297" customWidth="1"/>
    <col min="14332" max="14586" width="9" style="1297"/>
    <col min="14587" max="14587" width="3.75" style="1297" customWidth="1"/>
    <col min="14588" max="14842" width="9" style="1297"/>
    <col min="14843" max="14843" width="3.75" style="1297" customWidth="1"/>
    <col min="14844" max="15098" width="9" style="1297"/>
    <col min="15099" max="15099" width="3.75" style="1297" customWidth="1"/>
    <col min="15100" max="15354" width="9" style="1297"/>
    <col min="15355" max="15355" width="3.75" style="1297" customWidth="1"/>
    <col min="15356" max="15610" width="9" style="1297"/>
    <col min="15611" max="15611" width="3.75" style="1297" customWidth="1"/>
    <col min="15612" max="15866" width="9" style="1297"/>
    <col min="15867" max="15867" width="3.75" style="1297" customWidth="1"/>
    <col min="15868" max="16122" width="9" style="1297"/>
    <col min="16123" max="16123" width="3.75" style="1297" customWidth="1"/>
    <col min="16124" max="16384" width="9" style="1297"/>
  </cols>
  <sheetData>
    <row r="2" spans="2:12" ht="19.5">
      <c r="B2" s="1296" t="s">
        <v>260</v>
      </c>
      <c r="G2" s="1545"/>
      <c r="H2" s="1545"/>
      <c r="I2" s="1545"/>
    </row>
    <row r="4" spans="2:12">
      <c r="B4" s="1544" t="s">
        <v>261</v>
      </c>
      <c r="C4" s="1544" t="s">
        <v>262</v>
      </c>
      <c r="D4" s="1546" t="s">
        <v>263</v>
      </c>
      <c r="E4" s="1546" t="s">
        <v>1185</v>
      </c>
      <c r="F4" s="1546" t="s">
        <v>264</v>
      </c>
      <c r="G4" s="1544" t="s">
        <v>265</v>
      </c>
      <c r="H4" s="1544"/>
      <c r="I4" s="1544" t="s">
        <v>266</v>
      </c>
      <c r="J4" s="1544" t="s">
        <v>267</v>
      </c>
      <c r="K4" s="1544" t="s">
        <v>1137</v>
      </c>
      <c r="L4" s="1544"/>
    </row>
    <row r="5" spans="2:12">
      <c r="B5" s="1544"/>
      <c r="C5" s="1544"/>
      <c r="D5" s="1547"/>
      <c r="E5" s="1547"/>
      <c r="F5" s="1547"/>
      <c r="G5" s="1300" t="s">
        <v>268</v>
      </c>
      <c r="H5" s="1299" t="s">
        <v>743</v>
      </c>
      <c r="I5" s="1544"/>
      <c r="J5" s="1544"/>
      <c r="K5" s="1299" t="s">
        <v>1138</v>
      </c>
      <c r="L5" s="1299" t="s">
        <v>1186</v>
      </c>
    </row>
    <row r="6" spans="2:12" ht="20.100000000000001" customHeight="1">
      <c r="B6" s="1301">
        <f t="shared" ref="B6:B46" si="0">ROW()-5</f>
        <v>1</v>
      </c>
      <c r="C6" s="1302"/>
      <c r="D6" s="1307">
        <v>46133</v>
      </c>
      <c r="E6" s="1441" t="s">
        <v>1509</v>
      </c>
      <c r="F6" s="1453" t="s">
        <v>1523</v>
      </c>
      <c r="G6" s="1442">
        <v>135</v>
      </c>
      <c r="H6" s="1303"/>
      <c r="I6" s="1308" t="s">
        <v>1524</v>
      </c>
      <c r="J6" s="1308" t="s">
        <v>1508</v>
      </c>
      <c r="K6" s="1308" t="s">
        <v>1525</v>
      </c>
      <c r="L6" s="1307" t="s">
        <v>1512</v>
      </c>
    </row>
    <row r="7" spans="2:12" ht="20.100000000000001" customHeight="1">
      <c r="B7" s="1301">
        <f t="shared" si="0"/>
        <v>2</v>
      </c>
      <c r="C7" s="1302"/>
      <c r="D7" s="1307">
        <v>46134</v>
      </c>
      <c r="E7" s="1441" t="s">
        <v>1509</v>
      </c>
      <c r="F7" s="1453" t="s">
        <v>1510</v>
      </c>
      <c r="G7" s="1442">
        <v>68</v>
      </c>
      <c r="H7" s="1303"/>
      <c r="I7" s="1308" t="s">
        <v>1511</v>
      </c>
      <c r="J7" s="1308" t="s">
        <v>1495</v>
      </c>
      <c r="K7" s="1308" t="s">
        <v>1526</v>
      </c>
      <c r="L7" s="1307" t="s">
        <v>1509</v>
      </c>
    </row>
    <row r="8" spans="2:12" ht="20.100000000000001" customHeight="1">
      <c r="B8" s="1301">
        <f t="shared" si="0"/>
        <v>3</v>
      </c>
      <c r="C8" s="1302"/>
      <c r="D8" s="1307">
        <v>46149</v>
      </c>
      <c r="E8" s="1441" t="s">
        <v>1509</v>
      </c>
      <c r="F8" s="1453" t="s">
        <v>1527</v>
      </c>
      <c r="G8" s="1442">
        <v>370</v>
      </c>
      <c r="H8" s="1303"/>
      <c r="I8" s="1308" t="s">
        <v>1514</v>
      </c>
      <c r="J8" s="1308" t="s">
        <v>1495</v>
      </c>
      <c r="K8" s="1308" t="s">
        <v>1528</v>
      </c>
      <c r="L8" s="1307" t="s">
        <v>1509</v>
      </c>
    </row>
    <row r="9" spans="2:12" ht="20.100000000000001" customHeight="1">
      <c r="B9" s="1301">
        <f t="shared" si="0"/>
        <v>4</v>
      </c>
      <c r="C9" s="1302"/>
      <c r="D9" s="1307">
        <v>46151</v>
      </c>
      <c r="E9" s="1441" t="s">
        <v>1509</v>
      </c>
      <c r="F9" s="1435" t="s">
        <v>1529</v>
      </c>
      <c r="G9" s="1442">
        <v>233</v>
      </c>
      <c r="H9" s="1303"/>
      <c r="I9" s="1308" t="s">
        <v>1530</v>
      </c>
      <c r="J9" s="1308" t="s">
        <v>1508</v>
      </c>
      <c r="K9" s="1308" t="s">
        <v>1531</v>
      </c>
      <c r="L9" s="1307" t="s">
        <v>1509</v>
      </c>
    </row>
    <row r="10" spans="2:12" ht="20.100000000000001" customHeight="1">
      <c r="B10" s="1301">
        <f t="shared" si="0"/>
        <v>5</v>
      </c>
      <c r="C10" s="1302"/>
      <c r="D10" s="1307">
        <v>46118</v>
      </c>
      <c r="E10" s="1441" t="s">
        <v>1452</v>
      </c>
      <c r="F10" s="1435" t="s">
        <v>1533</v>
      </c>
      <c r="G10" s="1442">
        <v>258</v>
      </c>
      <c r="H10" s="1303"/>
      <c r="I10" s="1308" t="s">
        <v>1534</v>
      </c>
      <c r="J10" s="1308" t="s">
        <v>1495</v>
      </c>
      <c r="K10" s="1308" t="s">
        <v>1535</v>
      </c>
      <c r="L10" s="1307" t="s">
        <v>1505</v>
      </c>
    </row>
    <row r="11" spans="2:12" ht="20.100000000000001" customHeight="1">
      <c r="B11" s="1301">
        <f t="shared" si="0"/>
        <v>6</v>
      </c>
      <c r="C11" s="1302"/>
      <c r="D11" s="1307">
        <v>46119</v>
      </c>
      <c r="E11" s="1441" t="s">
        <v>1452</v>
      </c>
      <c r="F11" s="1435" t="s">
        <v>1536</v>
      </c>
      <c r="G11" s="1442">
        <v>873</v>
      </c>
      <c r="H11" s="1303"/>
      <c r="I11" s="1308" t="s">
        <v>1534</v>
      </c>
      <c r="J11" s="1308" t="s">
        <v>1537</v>
      </c>
      <c r="K11" s="1308" t="s">
        <v>1538</v>
      </c>
      <c r="L11" s="1307" t="s">
        <v>1539</v>
      </c>
    </row>
    <row r="12" spans="2:12" ht="20.100000000000001" customHeight="1">
      <c r="B12" s="1301">
        <f t="shared" si="0"/>
        <v>7</v>
      </c>
      <c r="C12" s="1302"/>
      <c r="D12" s="1307">
        <v>46120</v>
      </c>
      <c r="E12" s="1441" t="s">
        <v>1452</v>
      </c>
      <c r="F12" s="1435" t="s">
        <v>1540</v>
      </c>
      <c r="G12" s="1442">
        <v>402</v>
      </c>
      <c r="H12" s="1303"/>
      <c r="I12" s="1308" t="s">
        <v>1534</v>
      </c>
      <c r="J12" s="1308" t="s">
        <v>1537</v>
      </c>
      <c r="K12" s="1308" t="s">
        <v>1538</v>
      </c>
      <c r="L12" s="1307" t="s">
        <v>1541</v>
      </c>
    </row>
    <row r="13" spans="2:12" ht="20.100000000000001" customHeight="1">
      <c r="B13" s="1301">
        <f t="shared" si="0"/>
        <v>8</v>
      </c>
      <c r="C13" s="1302"/>
      <c r="D13" s="1307">
        <v>46120</v>
      </c>
      <c r="E13" s="1441" t="s">
        <v>1452</v>
      </c>
      <c r="F13" s="1435" t="s">
        <v>1542</v>
      </c>
      <c r="G13" s="1442">
        <v>800</v>
      </c>
      <c r="H13" s="1303"/>
      <c r="I13" s="1308" t="s">
        <v>1534</v>
      </c>
      <c r="J13" s="1308" t="s">
        <v>1495</v>
      </c>
      <c r="K13" s="1308" t="s">
        <v>1543</v>
      </c>
      <c r="L13" s="1307" t="s">
        <v>1541</v>
      </c>
    </row>
    <row r="14" spans="2:12" ht="20.100000000000001" customHeight="1">
      <c r="B14" s="1301">
        <f t="shared" si="0"/>
        <v>9</v>
      </c>
      <c r="C14" s="1302"/>
      <c r="D14" s="1307">
        <v>46128</v>
      </c>
      <c r="E14" s="1441" t="s">
        <v>1452</v>
      </c>
      <c r="F14" s="1435" t="s">
        <v>1544</v>
      </c>
      <c r="G14" s="1442">
        <v>297</v>
      </c>
      <c r="H14" s="1303"/>
      <c r="I14" s="1308" t="s">
        <v>1534</v>
      </c>
      <c r="J14" s="1308" t="s">
        <v>1495</v>
      </c>
      <c r="K14" s="1308" t="s">
        <v>1545</v>
      </c>
      <c r="L14" s="1307" t="s">
        <v>1546</v>
      </c>
    </row>
    <row r="15" spans="2:12" ht="20.100000000000001" customHeight="1">
      <c r="B15" s="1301">
        <f t="shared" si="0"/>
        <v>10</v>
      </c>
      <c r="C15" s="1302"/>
      <c r="D15" s="1307">
        <v>46150</v>
      </c>
      <c r="E15" s="1441" t="s">
        <v>1452</v>
      </c>
      <c r="F15" s="1453" t="s">
        <v>1549</v>
      </c>
      <c r="G15" s="1442">
        <v>693</v>
      </c>
      <c r="H15" s="1303"/>
      <c r="I15" s="1308" t="s">
        <v>1534</v>
      </c>
      <c r="J15" s="1308" t="s">
        <v>1495</v>
      </c>
      <c r="K15" s="1308" t="s">
        <v>1547</v>
      </c>
      <c r="L15" s="1454" t="s">
        <v>1548</v>
      </c>
    </row>
    <row r="16" spans="2:12" ht="20.100000000000001" customHeight="1">
      <c r="B16" s="1301">
        <f t="shared" si="0"/>
        <v>11</v>
      </c>
      <c r="C16" s="1302"/>
      <c r="D16" s="1307" t="s">
        <v>1550</v>
      </c>
      <c r="E16" s="1441" t="s">
        <v>1551</v>
      </c>
      <c r="F16" s="1435" t="s">
        <v>1552</v>
      </c>
      <c r="G16" s="1442">
        <v>60</v>
      </c>
      <c r="H16" s="1303"/>
      <c r="I16" s="1303" t="s">
        <v>1553</v>
      </c>
      <c r="J16" s="1308" t="s">
        <v>1495</v>
      </c>
      <c r="K16" s="1308" t="s">
        <v>1554</v>
      </c>
      <c r="L16" s="1308" t="s">
        <v>1555</v>
      </c>
    </row>
    <row r="17" spans="2:12" ht="20.100000000000001" customHeight="1">
      <c r="B17" s="1301">
        <f t="shared" si="0"/>
        <v>12</v>
      </c>
      <c r="C17" s="1302"/>
      <c r="D17" s="1307" t="s">
        <v>1550</v>
      </c>
      <c r="E17" s="1441" t="s">
        <v>1551</v>
      </c>
      <c r="F17" s="1435" t="s">
        <v>1556</v>
      </c>
      <c r="G17" s="1442">
        <v>281</v>
      </c>
      <c r="H17" s="1303"/>
      <c r="I17" s="1303" t="s">
        <v>1557</v>
      </c>
      <c r="J17" s="1308" t="s">
        <v>1495</v>
      </c>
      <c r="K17" s="1308" t="s">
        <v>1554</v>
      </c>
      <c r="L17" s="1308" t="s">
        <v>1555</v>
      </c>
    </row>
    <row r="18" spans="2:12" ht="20.100000000000001" customHeight="1">
      <c r="B18" s="1301">
        <f t="shared" si="0"/>
        <v>13</v>
      </c>
      <c r="C18" s="1302"/>
      <c r="D18" s="1307" t="s">
        <v>1558</v>
      </c>
      <c r="E18" s="1441" t="s">
        <v>1551</v>
      </c>
      <c r="F18" s="1435" t="s">
        <v>1559</v>
      </c>
      <c r="G18" s="1442">
        <v>315</v>
      </c>
      <c r="H18" s="1303"/>
      <c r="I18" s="1308" t="s">
        <v>1557</v>
      </c>
      <c r="J18" s="1308" t="s">
        <v>1560</v>
      </c>
      <c r="K18" s="1308" t="s">
        <v>1561</v>
      </c>
      <c r="L18" s="1307" t="s">
        <v>1555</v>
      </c>
    </row>
    <row r="19" spans="2:12" ht="20.100000000000001" customHeight="1">
      <c r="B19" s="1301">
        <f t="shared" si="0"/>
        <v>14</v>
      </c>
      <c r="C19" s="1302"/>
      <c r="D19" s="1307" t="s">
        <v>1562</v>
      </c>
      <c r="E19" s="1441" t="s">
        <v>1551</v>
      </c>
      <c r="F19" s="1435" t="s">
        <v>1563</v>
      </c>
      <c r="G19" s="1442">
        <v>100.7</v>
      </c>
      <c r="H19" s="1303"/>
      <c r="I19" s="1308" t="s">
        <v>1553</v>
      </c>
      <c r="J19" s="1308" t="s">
        <v>1495</v>
      </c>
      <c r="K19" s="1308" t="s">
        <v>1564</v>
      </c>
      <c r="L19" s="1307" t="s">
        <v>1565</v>
      </c>
    </row>
    <row r="20" spans="2:12" ht="20.100000000000001" customHeight="1">
      <c r="B20" s="1301">
        <f t="shared" si="0"/>
        <v>15</v>
      </c>
      <c r="C20" s="1302"/>
      <c r="D20" s="1307" t="s">
        <v>1566</v>
      </c>
      <c r="E20" s="1441" t="s">
        <v>1551</v>
      </c>
      <c r="F20" s="1435" t="s">
        <v>1559</v>
      </c>
      <c r="G20" s="1442">
        <v>255</v>
      </c>
      <c r="H20" s="1303"/>
      <c r="I20" s="1308" t="s">
        <v>1557</v>
      </c>
      <c r="J20" s="1308" t="s">
        <v>1567</v>
      </c>
      <c r="K20" s="1308" t="s">
        <v>1568</v>
      </c>
      <c r="L20" s="1307" t="s">
        <v>1551</v>
      </c>
    </row>
    <row r="21" spans="2:12" ht="20.100000000000001" customHeight="1">
      <c r="B21" s="1301">
        <f t="shared" si="0"/>
        <v>16</v>
      </c>
      <c r="C21" s="1302"/>
      <c r="D21" s="1307" t="s">
        <v>1569</v>
      </c>
      <c r="E21" s="1441" t="s">
        <v>1551</v>
      </c>
      <c r="F21" s="1435" t="s">
        <v>1559</v>
      </c>
      <c r="G21" s="1442">
        <v>307.8</v>
      </c>
      <c r="H21" s="1303"/>
      <c r="I21" s="1308" t="s">
        <v>1557</v>
      </c>
      <c r="J21" s="1308" t="s">
        <v>1567</v>
      </c>
      <c r="K21" s="1308" t="s">
        <v>1570</v>
      </c>
      <c r="L21" s="1307" t="s">
        <v>1551</v>
      </c>
    </row>
    <row r="22" spans="2:12" ht="20.100000000000001" customHeight="1">
      <c r="B22" s="1301">
        <f>ROW()-5</f>
        <v>17</v>
      </c>
      <c r="C22" s="1302"/>
      <c r="D22" s="1307" t="s">
        <v>1571</v>
      </c>
      <c r="E22" s="1441" t="s">
        <v>1551</v>
      </c>
      <c r="F22" s="1435" t="s">
        <v>1572</v>
      </c>
      <c r="G22" s="1442">
        <v>260</v>
      </c>
      <c r="H22" s="1303"/>
      <c r="I22" s="1308" t="s">
        <v>1553</v>
      </c>
      <c r="J22" s="1308" t="s">
        <v>1573</v>
      </c>
      <c r="K22" s="1308" t="s">
        <v>1574</v>
      </c>
      <c r="L22" s="1307" t="s">
        <v>1555</v>
      </c>
    </row>
    <row r="23" spans="2:12" ht="20.100000000000001" customHeight="1">
      <c r="B23" s="1301">
        <f t="shared" si="0"/>
        <v>18</v>
      </c>
      <c r="C23" s="1302"/>
      <c r="D23" s="1307" t="s">
        <v>1571</v>
      </c>
      <c r="E23" s="1441" t="s">
        <v>1551</v>
      </c>
      <c r="F23" s="1435" t="s">
        <v>1575</v>
      </c>
      <c r="G23" s="1442">
        <v>674</v>
      </c>
      <c r="H23" s="1303"/>
      <c r="I23" s="1308" t="s">
        <v>1576</v>
      </c>
      <c r="J23" s="1308" t="s">
        <v>1573</v>
      </c>
      <c r="K23" s="1308" t="s">
        <v>1574</v>
      </c>
      <c r="L23" s="1307" t="s">
        <v>1555</v>
      </c>
    </row>
    <row r="24" spans="2:12" ht="20.100000000000001" customHeight="1">
      <c r="B24" s="1301">
        <f t="shared" si="0"/>
        <v>19</v>
      </c>
      <c r="C24" s="1302"/>
      <c r="D24" s="1307" t="s">
        <v>1571</v>
      </c>
      <c r="E24" s="1441" t="s">
        <v>1551</v>
      </c>
      <c r="F24" s="1435" t="s">
        <v>1577</v>
      </c>
      <c r="G24" s="1442">
        <v>103</v>
      </c>
      <c r="H24" s="1303"/>
      <c r="I24" s="1308" t="s">
        <v>1553</v>
      </c>
      <c r="J24" s="1308" t="s">
        <v>1573</v>
      </c>
      <c r="K24" s="1308" t="s">
        <v>1574</v>
      </c>
      <c r="L24" s="1307" t="s">
        <v>1555</v>
      </c>
    </row>
    <row r="25" spans="2:12" ht="20.100000000000001" customHeight="1">
      <c r="B25" s="1301">
        <f t="shared" si="0"/>
        <v>20</v>
      </c>
      <c r="C25" s="1302"/>
      <c r="D25" s="1307">
        <v>46132</v>
      </c>
      <c r="E25" s="1441" t="s">
        <v>1515</v>
      </c>
      <c r="F25" s="1435" t="s">
        <v>1516</v>
      </c>
      <c r="G25" s="1442">
        <v>246</v>
      </c>
      <c r="H25" s="1303"/>
      <c r="I25" s="1308" t="s">
        <v>1518</v>
      </c>
      <c r="J25" s="1308" t="s">
        <v>1495</v>
      </c>
      <c r="K25" s="1308" t="s">
        <v>1578</v>
      </c>
      <c r="L25" s="1307" t="s">
        <v>1517</v>
      </c>
    </row>
    <row r="26" spans="2:12" ht="20.100000000000001" customHeight="1">
      <c r="B26" s="1301">
        <f t="shared" si="0"/>
        <v>21</v>
      </c>
      <c r="C26" s="1302"/>
      <c r="D26" s="1307">
        <v>46149</v>
      </c>
      <c r="E26" s="1441" t="s">
        <v>1515</v>
      </c>
      <c r="F26" s="1435" t="s">
        <v>1513</v>
      </c>
      <c r="G26" s="1442">
        <v>140</v>
      </c>
      <c r="H26" s="1303"/>
      <c r="I26" s="1308" t="s">
        <v>1518</v>
      </c>
      <c r="J26" s="1308" t="s">
        <v>1495</v>
      </c>
      <c r="K26" s="1308" t="s">
        <v>1579</v>
      </c>
      <c r="L26" s="1307" t="s">
        <v>1517</v>
      </c>
    </row>
    <row r="27" spans="2:12" ht="20.100000000000001" customHeight="1">
      <c r="B27" s="1301">
        <f t="shared" si="0"/>
        <v>22</v>
      </c>
      <c r="C27" s="1302"/>
      <c r="D27" s="1307">
        <v>46109</v>
      </c>
      <c r="E27" s="1441" t="s">
        <v>1506</v>
      </c>
      <c r="F27" s="1435" t="s">
        <v>1581</v>
      </c>
      <c r="G27" s="1442">
        <v>36.04</v>
      </c>
      <c r="H27" s="1303"/>
      <c r="I27" s="1308" t="s">
        <v>1582</v>
      </c>
      <c r="J27" s="1308" t="s">
        <v>1508</v>
      </c>
      <c r="K27" s="1308" t="s">
        <v>1583</v>
      </c>
      <c r="L27" s="1307" t="s">
        <v>1506</v>
      </c>
    </row>
    <row r="28" spans="2:12" ht="20.100000000000001" customHeight="1">
      <c r="B28" s="1301">
        <f t="shared" si="0"/>
        <v>23</v>
      </c>
      <c r="C28" s="1302"/>
      <c r="D28" s="1307">
        <v>46156</v>
      </c>
      <c r="E28" s="1441" t="s">
        <v>1506</v>
      </c>
      <c r="F28" s="1435" t="s">
        <v>1584</v>
      </c>
      <c r="G28" s="1442">
        <v>1016.12</v>
      </c>
      <c r="H28" s="1303"/>
      <c r="I28" s="1308" t="s">
        <v>1507</v>
      </c>
      <c r="J28" s="1308" t="s">
        <v>1494</v>
      </c>
      <c r="K28" s="1308" t="s">
        <v>1585</v>
      </c>
      <c r="L28" s="1307" t="s">
        <v>1586</v>
      </c>
    </row>
    <row r="29" spans="2:12" ht="20.100000000000001" customHeight="1">
      <c r="B29" s="1301">
        <f t="shared" si="0"/>
        <v>24</v>
      </c>
      <c r="C29" s="1302"/>
      <c r="D29" s="1307">
        <v>46134</v>
      </c>
      <c r="E29" s="1441" t="s">
        <v>1506</v>
      </c>
      <c r="F29" s="1435" t="s">
        <v>1587</v>
      </c>
      <c r="G29" s="1442">
        <v>58</v>
      </c>
      <c r="H29" s="1303"/>
      <c r="I29" s="1308" t="s">
        <v>1507</v>
      </c>
      <c r="J29" s="1308" t="s">
        <v>1494</v>
      </c>
      <c r="K29" s="1308" t="s">
        <v>1588</v>
      </c>
      <c r="L29" s="1307" t="s">
        <v>1506</v>
      </c>
    </row>
    <row r="30" spans="2:12" ht="20.100000000000001" customHeight="1">
      <c r="B30" s="1301">
        <f t="shared" si="0"/>
        <v>25</v>
      </c>
      <c r="C30" s="1302"/>
      <c r="D30" s="1307"/>
      <c r="E30" s="1441"/>
      <c r="F30" s="1435"/>
      <c r="G30" s="1442"/>
      <c r="H30" s="1303"/>
      <c r="I30" s="1308"/>
      <c r="J30" s="1308"/>
      <c r="K30" s="1308"/>
      <c r="L30" s="1307"/>
    </row>
    <row r="31" spans="2:12" ht="20.100000000000001" customHeight="1">
      <c r="B31" s="1301">
        <f t="shared" si="0"/>
        <v>26</v>
      </c>
      <c r="C31" s="1302"/>
      <c r="D31" s="1307"/>
      <c r="E31" s="1441"/>
      <c r="F31" s="1435"/>
      <c r="G31" s="1442"/>
      <c r="H31" s="1303"/>
      <c r="I31" s="1308"/>
      <c r="J31" s="1308"/>
      <c r="K31" s="1308"/>
      <c r="L31" s="1307"/>
    </row>
    <row r="32" spans="2:12" ht="20.100000000000001" customHeight="1">
      <c r="B32" s="1301">
        <f t="shared" si="0"/>
        <v>27</v>
      </c>
      <c r="C32" s="1302"/>
      <c r="D32" s="1307"/>
      <c r="E32" s="1441"/>
      <c r="F32" s="1435"/>
      <c r="G32" s="1442"/>
      <c r="H32" s="1303"/>
      <c r="I32" s="1308"/>
      <c r="J32" s="1308"/>
      <c r="K32" s="1308"/>
      <c r="L32" s="1307"/>
    </row>
    <row r="33" spans="2:12" ht="20.100000000000001" customHeight="1">
      <c r="B33" s="1301">
        <f t="shared" si="0"/>
        <v>28</v>
      </c>
      <c r="C33" s="1302"/>
      <c r="D33" s="1307"/>
      <c r="E33" s="1441"/>
      <c r="F33" s="1435"/>
      <c r="G33" s="1442"/>
      <c r="H33" s="1303"/>
      <c r="I33" s="1308"/>
      <c r="J33" s="1308"/>
      <c r="K33" s="1308"/>
      <c r="L33" s="1307"/>
    </row>
    <row r="34" spans="2:12" ht="20.100000000000001" customHeight="1">
      <c r="B34" s="1301">
        <f t="shared" si="0"/>
        <v>29</v>
      </c>
      <c r="C34" s="1302"/>
      <c r="D34" s="1307"/>
      <c r="E34" s="1441"/>
      <c r="F34" s="1435"/>
      <c r="G34" s="1442"/>
      <c r="H34" s="1303"/>
      <c r="I34" s="1308"/>
      <c r="J34" s="1308"/>
      <c r="K34" s="1308"/>
      <c r="L34" s="1307"/>
    </row>
    <row r="35" spans="2:12" ht="20.100000000000001" customHeight="1">
      <c r="B35" s="1301">
        <f t="shared" si="0"/>
        <v>30</v>
      </c>
      <c r="C35" s="1302"/>
      <c r="D35" s="1307"/>
      <c r="E35" s="1441"/>
      <c r="F35" s="1435"/>
      <c r="G35" s="1442"/>
      <c r="H35" s="1303"/>
      <c r="I35" s="1308"/>
      <c r="J35" s="1308"/>
      <c r="K35" s="1308"/>
      <c r="L35" s="1307"/>
    </row>
    <row r="36" spans="2:12" ht="20.100000000000001" customHeight="1">
      <c r="B36" s="1301">
        <f t="shared" si="0"/>
        <v>31</v>
      </c>
      <c r="C36" s="1302"/>
      <c r="D36" s="1307"/>
      <c r="E36" s="1441"/>
      <c r="F36" s="1435"/>
      <c r="G36" s="1442"/>
      <c r="H36" s="1303"/>
      <c r="I36" s="1308"/>
      <c r="J36" s="1308"/>
      <c r="K36" s="1308"/>
      <c r="L36" s="1307"/>
    </row>
    <row r="37" spans="2:12" ht="20.100000000000001" customHeight="1">
      <c r="B37" s="1301">
        <f t="shared" si="0"/>
        <v>32</v>
      </c>
      <c r="C37" s="1302"/>
      <c r="D37" s="1307"/>
      <c r="E37" s="1441"/>
      <c r="F37" s="1435"/>
      <c r="G37" s="1442"/>
      <c r="H37" s="1303"/>
      <c r="I37" s="1308"/>
      <c r="J37" s="1308"/>
      <c r="K37" s="1308"/>
      <c r="L37" s="1307"/>
    </row>
    <row r="38" spans="2:12" ht="20.100000000000001" customHeight="1">
      <c r="B38" s="1301">
        <f t="shared" si="0"/>
        <v>33</v>
      </c>
      <c r="C38" s="1302"/>
      <c r="D38" s="1307"/>
      <c r="E38" s="1441"/>
      <c r="F38" s="1435"/>
      <c r="G38" s="1442"/>
      <c r="H38" s="1303"/>
      <c r="I38" s="1308"/>
      <c r="J38" s="1308"/>
      <c r="K38" s="1308"/>
      <c r="L38" s="1307"/>
    </row>
    <row r="39" spans="2:12" ht="20.100000000000001" customHeight="1">
      <c r="B39" s="1301">
        <f t="shared" si="0"/>
        <v>34</v>
      </c>
      <c r="C39" s="1302"/>
      <c r="D39" s="1307"/>
      <c r="E39" s="1441"/>
      <c r="F39" s="1435"/>
      <c r="G39" s="1442"/>
      <c r="H39" s="1303"/>
      <c r="I39" s="1308"/>
      <c r="J39" s="1308"/>
      <c r="K39" s="1308"/>
      <c r="L39" s="1307"/>
    </row>
    <row r="40" spans="2:12" ht="20.100000000000001" customHeight="1">
      <c r="B40" s="1301">
        <f t="shared" si="0"/>
        <v>35</v>
      </c>
      <c r="C40" s="1302"/>
      <c r="D40" s="1307"/>
      <c r="E40" s="1441"/>
      <c r="F40" s="1435"/>
      <c r="G40" s="1442"/>
      <c r="H40" s="1303"/>
      <c r="I40" s="1308"/>
      <c r="J40" s="1308"/>
      <c r="K40" s="1308"/>
      <c r="L40" s="1307"/>
    </row>
    <row r="41" spans="2:12" ht="20.100000000000001" customHeight="1">
      <c r="B41" s="1301">
        <f t="shared" si="0"/>
        <v>36</v>
      </c>
      <c r="C41" s="1302"/>
      <c r="D41" s="1307"/>
      <c r="E41" s="1441"/>
      <c r="F41" s="1435"/>
      <c r="G41" s="1442"/>
      <c r="H41" s="1303"/>
      <c r="I41" s="1308"/>
      <c r="J41" s="1308"/>
      <c r="K41" s="1308"/>
      <c r="L41" s="1307"/>
    </row>
    <row r="42" spans="2:12" ht="20.100000000000001" hidden="1" customHeight="1">
      <c r="B42" s="1301">
        <f t="shared" si="0"/>
        <v>37</v>
      </c>
      <c r="C42" s="1302"/>
      <c r="D42" s="1307"/>
      <c r="E42" s="1441"/>
      <c r="F42" s="1435"/>
      <c r="G42" s="1442"/>
      <c r="H42" s="1303"/>
      <c r="I42" s="1308"/>
      <c r="J42" s="1308"/>
      <c r="K42" s="1308"/>
      <c r="L42" s="1307"/>
    </row>
    <row r="43" spans="2:12" ht="20.100000000000001" hidden="1" customHeight="1">
      <c r="B43" s="1301">
        <f t="shared" si="0"/>
        <v>38</v>
      </c>
      <c r="C43" s="1302"/>
      <c r="D43" s="1307"/>
      <c r="E43" s="1441"/>
      <c r="F43" s="1435"/>
      <c r="G43" s="1442"/>
      <c r="H43" s="1303"/>
      <c r="I43" s="1308"/>
      <c r="J43" s="1308"/>
      <c r="K43" s="1308"/>
      <c r="L43" s="1307"/>
    </row>
    <row r="44" spans="2:12" ht="20.100000000000001" hidden="1" customHeight="1">
      <c r="B44" s="1301">
        <f t="shared" si="0"/>
        <v>39</v>
      </c>
      <c r="C44" s="1302"/>
      <c r="D44" s="1307"/>
      <c r="E44" s="1441"/>
      <c r="F44" s="1435"/>
      <c r="G44" s="1442"/>
      <c r="H44" s="1303"/>
      <c r="I44" s="1308"/>
      <c r="J44" s="1308"/>
      <c r="K44" s="1308"/>
      <c r="L44" s="1307"/>
    </row>
    <row r="45" spans="2:12" ht="20.100000000000001" hidden="1" customHeight="1">
      <c r="B45" s="1301">
        <f t="shared" si="0"/>
        <v>40</v>
      </c>
      <c r="C45" s="1302"/>
      <c r="D45" s="1307"/>
      <c r="E45" s="1441"/>
      <c r="F45" s="1435"/>
      <c r="G45" s="1442"/>
      <c r="H45" s="1303"/>
      <c r="I45" s="1308"/>
      <c r="J45" s="1308"/>
      <c r="K45" s="1308"/>
      <c r="L45" s="1307"/>
    </row>
    <row r="46" spans="2:12" ht="20.100000000000001" hidden="1" customHeight="1">
      <c r="B46" s="1301">
        <f t="shared" si="0"/>
        <v>41</v>
      </c>
      <c r="C46" s="1302"/>
      <c r="D46" s="1307"/>
      <c r="E46" s="1307"/>
      <c r="F46" s="1435"/>
      <c r="G46" s="1443"/>
      <c r="H46" s="1303"/>
      <c r="I46" s="1308"/>
      <c r="J46" s="1308"/>
      <c r="K46" s="1308"/>
      <c r="L46" s="1307"/>
    </row>
    <row r="47" spans="2:12">
      <c r="B47" s="1301"/>
      <c r="G47" s="1304">
        <f>SUM(G6:G46)</f>
        <v>7981.66</v>
      </c>
      <c r="H47" s="1305">
        <f>SUM(H6:H46)</f>
        <v>0</v>
      </c>
    </row>
  </sheetData>
  <autoFilter ref="B5:L46" xr:uid="{3BDFA6BF-E876-473E-BFC7-B0F7D99C5F64}"/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119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92D050"/>
  </sheetPr>
  <dimension ref="C3:V24"/>
  <sheetViews>
    <sheetView showGridLines="0" view="pageBreakPreview" zoomScaleNormal="90" zoomScaleSheetLayoutView="100" workbookViewId="0">
      <selection activeCell="M12" sqref="M12"/>
    </sheetView>
  </sheetViews>
  <sheetFormatPr defaultColWidth="9.5" defaultRowHeight="16.5"/>
  <cols>
    <col min="1" max="2" width="2.125" style="1290" customWidth="1"/>
    <col min="3" max="3" width="11.125" style="1290" customWidth="1"/>
    <col min="4" max="4" width="9.875" style="1290" customWidth="1"/>
    <col min="5" max="5" width="11.75" style="1290" customWidth="1"/>
    <col min="6" max="6" width="6.75" style="1290" customWidth="1"/>
    <col min="7" max="8" width="9.5" style="1290"/>
    <col min="9" max="9" width="6.875" style="1290" customWidth="1"/>
    <col min="10" max="10" width="11.125" style="1290" customWidth="1"/>
    <col min="11" max="12" width="9.5" style="1290"/>
    <col min="13" max="13" width="6.75" style="1290" customWidth="1"/>
    <col min="14" max="16" width="9.5" style="1290"/>
    <col min="17" max="17" width="11.125" style="1290" customWidth="1"/>
    <col min="18" max="19" width="9.5" style="1290"/>
    <col min="20" max="20" width="6.75" style="1290" customWidth="1"/>
    <col min="21" max="16384" width="9.5" style="1290"/>
  </cols>
  <sheetData>
    <row r="3" spans="3:22">
      <c r="C3" s="1455" t="s">
        <v>1499</v>
      </c>
      <c r="J3" s="1456" t="s">
        <v>1501</v>
      </c>
      <c r="K3" s="1455"/>
      <c r="Q3" s="1456" t="s">
        <v>1500</v>
      </c>
    </row>
    <row r="4" spans="3:22">
      <c r="C4" s="1291" t="s">
        <v>723</v>
      </c>
      <c r="D4" s="1291" t="s">
        <v>724</v>
      </c>
      <c r="E4" s="1291" t="s">
        <v>725</v>
      </c>
      <c r="F4" s="1291" t="s">
        <v>726</v>
      </c>
      <c r="G4" s="1291" t="s">
        <v>727</v>
      </c>
      <c r="H4" s="1291" t="s">
        <v>728</v>
      </c>
      <c r="J4" s="1291" t="s">
        <v>723</v>
      </c>
      <c r="K4" s="1291" t="s">
        <v>724</v>
      </c>
      <c r="L4" s="1291" t="s">
        <v>725</v>
      </c>
      <c r="M4" s="1291" t="s">
        <v>726</v>
      </c>
      <c r="N4" s="1291" t="s">
        <v>727</v>
      </c>
      <c r="O4" s="1291" t="s">
        <v>728</v>
      </c>
      <c r="Q4" s="1291" t="s">
        <v>723</v>
      </c>
      <c r="R4" s="1291" t="s">
        <v>724</v>
      </c>
      <c r="S4" s="1291" t="s">
        <v>725</v>
      </c>
      <c r="T4" s="1291" t="s">
        <v>726</v>
      </c>
      <c r="U4" s="1291" t="s">
        <v>727</v>
      </c>
      <c r="V4" s="1291" t="s">
        <v>728</v>
      </c>
    </row>
    <row r="5" spans="3:22">
      <c r="C5" s="1292">
        <v>46134</v>
      </c>
      <c r="D5" s="1291"/>
      <c r="E5" s="1291" t="s">
        <v>729</v>
      </c>
      <c r="F5" s="1291">
        <v>6</v>
      </c>
      <c r="G5" s="1291">
        <f t="shared" ref="G5:G14" si="0">F5*20</f>
        <v>120</v>
      </c>
      <c r="H5" s="1291"/>
      <c r="J5" s="1292">
        <v>46135</v>
      </c>
      <c r="K5" s="1291"/>
      <c r="L5" s="1291" t="s">
        <v>729</v>
      </c>
      <c r="M5" s="1291">
        <v>4</v>
      </c>
      <c r="N5" s="1291">
        <f t="shared" ref="N5:N16" si="1">M5*20</f>
        <v>80</v>
      </c>
      <c r="O5" s="1291"/>
      <c r="Q5" s="1292">
        <v>46134</v>
      </c>
      <c r="R5" s="1291"/>
      <c r="S5" s="1291" t="s">
        <v>729</v>
      </c>
      <c r="T5" s="1291">
        <v>1</v>
      </c>
      <c r="U5" s="1291">
        <f t="shared" ref="U5:U16" si="2">T5*20</f>
        <v>20</v>
      </c>
      <c r="V5" s="1291"/>
    </row>
    <row r="6" spans="3:22">
      <c r="C6" s="1292">
        <v>46135</v>
      </c>
      <c r="D6" s="1291"/>
      <c r="E6" s="1291" t="s">
        <v>729</v>
      </c>
      <c r="F6" s="1291">
        <v>3.5</v>
      </c>
      <c r="G6" s="1291">
        <f t="shared" si="0"/>
        <v>70</v>
      </c>
      <c r="H6" s="1291"/>
      <c r="J6" s="1292">
        <v>46139</v>
      </c>
      <c r="K6" s="1291"/>
      <c r="L6" s="1291" t="s">
        <v>729</v>
      </c>
      <c r="M6" s="1291">
        <v>4</v>
      </c>
      <c r="N6" s="1291">
        <f t="shared" si="1"/>
        <v>80</v>
      </c>
      <c r="O6" s="1291"/>
      <c r="Q6" s="1292">
        <v>46135</v>
      </c>
      <c r="R6" s="1291"/>
      <c r="S6" s="1291" t="s">
        <v>729</v>
      </c>
      <c r="T6" s="1291">
        <v>2</v>
      </c>
      <c r="U6" s="1291">
        <f t="shared" si="2"/>
        <v>40</v>
      </c>
      <c r="V6" s="1291"/>
    </row>
    <row r="7" spans="3:22">
      <c r="C7" s="1292">
        <v>46136</v>
      </c>
      <c r="D7" s="1291"/>
      <c r="E7" s="1291" t="s">
        <v>729</v>
      </c>
      <c r="F7" s="1291">
        <v>6.5</v>
      </c>
      <c r="G7" s="1291">
        <f t="shared" si="0"/>
        <v>130</v>
      </c>
      <c r="H7" s="1291"/>
      <c r="J7" s="1292">
        <v>46149</v>
      </c>
      <c r="K7" s="1291"/>
      <c r="L7" s="1291" t="s">
        <v>729</v>
      </c>
      <c r="M7" s="1291">
        <v>3</v>
      </c>
      <c r="N7" s="1291">
        <f t="shared" si="1"/>
        <v>60</v>
      </c>
      <c r="O7" s="1291"/>
      <c r="Q7" s="1292">
        <v>46139</v>
      </c>
      <c r="R7" s="1291"/>
      <c r="S7" s="1291" t="s">
        <v>729</v>
      </c>
      <c r="T7" s="1291">
        <v>3</v>
      </c>
      <c r="U7" s="1291">
        <f t="shared" si="2"/>
        <v>60</v>
      </c>
      <c r="V7" s="1291"/>
    </row>
    <row r="8" spans="3:22">
      <c r="C8" s="1292">
        <v>46139</v>
      </c>
      <c r="D8" s="1291"/>
      <c r="E8" s="1291" t="s">
        <v>729</v>
      </c>
      <c r="F8" s="1291">
        <v>3</v>
      </c>
      <c r="G8" s="1291">
        <f t="shared" si="0"/>
        <v>60</v>
      </c>
      <c r="H8" s="1291"/>
      <c r="J8" s="1292">
        <v>46150</v>
      </c>
      <c r="K8" s="1291"/>
      <c r="L8" s="1291" t="s">
        <v>729</v>
      </c>
      <c r="M8" s="1291">
        <v>3</v>
      </c>
      <c r="N8" s="1291">
        <f t="shared" si="1"/>
        <v>60</v>
      </c>
      <c r="O8" s="1291"/>
      <c r="Q8" s="1292">
        <v>46140</v>
      </c>
      <c r="R8" s="1291"/>
      <c r="S8" s="1291" t="s">
        <v>729</v>
      </c>
      <c r="T8" s="1291">
        <v>1</v>
      </c>
      <c r="U8" s="1291">
        <f t="shared" si="2"/>
        <v>20</v>
      </c>
      <c r="V8" s="1291"/>
    </row>
    <row r="9" spans="3:22">
      <c r="C9" s="1292">
        <v>46142</v>
      </c>
      <c r="D9" s="1291"/>
      <c r="E9" s="1291" t="s">
        <v>729</v>
      </c>
      <c r="F9" s="1291">
        <v>1</v>
      </c>
      <c r="G9" s="1291">
        <f t="shared" si="0"/>
        <v>20</v>
      </c>
      <c r="H9" s="1293"/>
      <c r="J9" s="1292">
        <v>46155</v>
      </c>
      <c r="K9" s="1291"/>
      <c r="L9" s="1291" t="s">
        <v>729</v>
      </c>
      <c r="M9" s="1291">
        <v>5</v>
      </c>
      <c r="N9" s="1291">
        <f t="shared" si="1"/>
        <v>100</v>
      </c>
      <c r="O9" s="1293"/>
      <c r="Q9" s="1292">
        <v>46154</v>
      </c>
      <c r="R9" s="1291"/>
      <c r="S9" s="1291" t="s">
        <v>729</v>
      </c>
      <c r="T9" s="1291">
        <v>3</v>
      </c>
      <c r="U9" s="1291">
        <f t="shared" si="2"/>
        <v>60</v>
      </c>
      <c r="V9" s="1293"/>
    </row>
    <row r="10" spans="3:22">
      <c r="C10" s="1292">
        <v>46150</v>
      </c>
      <c r="D10" s="1291"/>
      <c r="E10" s="1291" t="s">
        <v>729</v>
      </c>
      <c r="F10" s="1291">
        <v>5</v>
      </c>
      <c r="G10" s="1291">
        <f t="shared" si="0"/>
        <v>100</v>
      </c>
      <c r="H10" s="1291"/>
      <c r="J10" s="1292">
        <v>46158</v>
      </c>
      <c r="K10" s="1291"/>
      <c r="L10" s="1291" t="s">
        <v>729</v>
      </c>
      <c r="M10" s="1291">
        <v>16</v>
      </c>
      <c r="N10" s="1291">
        <f t="shared" si="1"/>
        <v>320</v>
      </c>
      <c r="O10" s="1291"/>
      <c r="Q10" s="1292">
        <v>46158</v>
      </c>
      <c r="R10" s="1291"/>
      <c r="S10" s="1291" t="s">
        <v>729</v>
      </c>
      <c r="T10" s="1291">
        <v>5</v>
      </c>
      <c r="U10" s="1291">
        <f t="shared" si="2"/>
        <v>100</v>
      </c>
      <c r="V10" s="1291"/>
    </row>
    <row r="11" spans="3:22">
      <c r="C11" s="1292">
        <v>46153</v>
      </c>
      <c r="D11" s="1291"/>
      <c r="E11" s="1291" t="s">
        <v>729</v>
      </c>
      <c r="F11" s="1291">
        <v>1</v>
      </c>
      <c r="G11" s="1291">
        <f t="shared" si="0"/>
        <v>20</v>
      </c>
      <c r="H11" s="1291"/>
      <c r="J11" s="1292">
        <v>46159</v>
      </c>
      <c r="K11" s="1291"/>
      <c r="L11" s="1291" t="s">
        <v>729</v>
      </c>
      <c r="M11" s="1291">
        <v>3</v>
      </c>
      <c r="N11" s="1291">
        <f t="shared" si="1"/>
        <v>60</v>
      </c>
      <c r="O11" s="1291"/>
      <c r="Q11" s="1292"/>
      <c r="R11" s="1291"/>
      <c r="S11" s="1291" t="s">
        <v>729</v>
      </c>
      <c r="T11" s="1291"/>
      <c r="U11" s="1291">
        <f t="shared" si="2"/>
        <v>0</v>
      </c>
      <c r="V11" s="1291"/>
    </row>
    <row r="12" spans="3:22">
      <c r="C12" s="1292">
        <v>46156</v>
      </c>
      <c r="D12" s="1291"/>
      <c r="E12" s="1291" t="s">
        <v>729</v>
      </c>
      <c r="F12" s="1291">
        <v>3</v>
      </c>
      <c r="G12" s="1291">
        <f t="shared" si="0"/>
        <v>60</v>
      </c>
      <c r="H12" s="1291"/>
      <c r="J12" s="1292"/>
      <c r="K12" s="1291"/>
      <c r="L12" s="1291" t="s">
        <v>729</v>
      </c>
      <c r="M12" s="1291"/>
      <c r="N12" s="1291">
        <f t="shared" si="1"/>
        <v>0</v>
      </c>
      <c r="O12" s="1291"/>
      <c r="Q12" s="1292"/>
      <c r="R12" s="1291"/>
      <c r="S12" s="1291" t="s">
        <v>729</v>
      </c>
      <c r="T12" s="1291"/>
      <c r="U12" s="1291">
        <f t="shared" si="2"/>
        <v>0</v>
      </c>
      <c r="V12" s="1291"/>
    </row>
    <row r="13" spans="3:22">
      <c r="C13" s="1292"/>
      <c r="D13" s="1291"/>
      <c r="E13" s="1291" t="s">
        <v>729</v>
      </c>
      <c r="F13" s="1291"/>
      <c r="G13" s="1291">
        <f t="shared" si="0"/>
        <v>0</v>
      </c>
      <c r="H13" s="1293"/>
      <c r="J13" s="1292"/>
      <c r="K13" s="1291"/>
      <c r="L13" s="1291" t="s">
        <v>729</v>
      </c>
      <c r="M13" s="1291"/>
      <c r="N13" s="1291">
        <f t="shared" si="1"/>
        <v>0</v>
      </c>
      <c r="O13" s="1293"/>
      <c r="Q13" s="1292"/>
      <c r="R13" s="1291"/>
      <c r="S13" s="1291" t="s">
        <v>729</v>
      </c>
      <c r="T13" s="1291"/>
      <c r="U13" s="1291">
        <f t="shared" si="2"/>
        <v>0</v>
      </c>
      <c r="V13" s="1293"/>
    </row>
    <row r="14" spans="3:22">
      <c r="C14" s="1292"/>
      <c r="D14" s="1291"/>
      <c r="E14" s="1291" t="s">
        <v>729</v>
      </c>
      <c r="F14" s="1291"/>
      <c r="G14" s="1291">
        <f t="shared" si="0"/>
        <v>0</v>
      </c>
      <c r="H14" s="1293"/>
      <c r="J14" s="1292"/>
      <c r="K14" s="1291"/>
      <c r="L14" s="1291" t="s">
        <v>729</v>
      </c>
      <c r="M14" s="1291"/>
      <c r="N14" s="1291">
        <f t="shared" si="1"/>
        <v>0</v>
      </c>
      <c r="O14" s="1293"/>
      <c r="Q14" s="1292"/>
      <c r="R14" s="1291"/>
      <c r="S14" s="1291" t="s">
        <v>729</v>
      </c>
      <c r="T14" s="1291"/>
      <c r="U14" s="1291">
        <f t="shared" si="2"/>
        <v>0</v>
      </c>
      <c r="V14" s="1293"/>
    </row>
    <row r="15" spans="3:22">
      <c r="C15" s="1292"/>
      <c r="D15" s="1291"/>
      <c r="E15" s="1291" t="s">
        <v>729</v>
      </c>
      <c r="F15" s="1291"/>
      <c r="G15" s="1291">
        <f t="shared" ref="G15:G23" si="3">F15*20</f>
        <v>0</v>
      </c>
      <c r="H15" s="1293"/>
      <c r="J15" s="1292"/>
      <c r="K15" s="1291"/>
      <c r="L15" s="1291" t="s">
        <v>729</v>
      </c>
      <c r="M15" s="1291"/>
      <c r="N15" s="1291">
        <f t="shared" si="1"/>
        <v>0</v>
      </c>
      <c r="O15" s="1293"/>
      <c r="Q15" s="1292"/>
      <c r="R15" s="1291"/>
      <c r="S15" s="1291" t="s">
        <v>729</v>
      </c>
      <c r="T15" s="1291"/>
      <c r="U15" s="1291">
        <f t="shared" si="2"/>
        <v>0</v>
      </c>
      <c r="V15" s="1293"/>
    </row>
    <row r="16" spans="3:22">
      <c r="C16" s="1292"/>
      <c r="D16" s="1291"/>
      <c r="E16" s="1291" t="s">
        <v>729</v>
      </c>
      <c r="F16" s="1291"/>
      <c r="G16" s="1291">
        <f t="shared" si="3"/>
        <v>0</v>
      </c>
      <c r="H16" s="1293"/>
      <c r="J16" s="1292"/>
      <c r="K16" s="1291"/>
      <c r="L16" s="1291" t="s">
        <v>729</v>
      </c>
      <c r="M16" s="1291"/>
      <c r="N16" s="1291">
        <f t="shared" si="1"/>
        <v>0</v>
      </c>
      <c r="O16" s="1293"/>
      <c r="Q16" s="1292"/>
      <c r="R16" s="1291"/>
      <c r="S16" s="1291" t="s">
        <v>729</v>
      </c>
      <c r="T16" s="1291"/>
      <c r="U16" s="1291">
        <f t="shared" si="2"/>
        <v>0</v>
      </c>
      <c r="V16" s="1293"/>
    </row>
    <row r="17" spans="3:22">
      <c r="C17" s="1292"/>
      <c r="D17" s="1291"/>
      <c r="E17" s="1291" t="s">
        <v>729</v>
      </c>
      <c r="F17" s="1291"/>
      <c r="G17" s="1291">
        <f t="shared" si="3"/>
        <v>0</v>
      </c>
      <c r="H17" s="1291"/>
      <c r="J17" s="1292"/>
      <c r="K17" s="1291"/>
      <c r="L17" s="1291" t="s">
        <v>729</v>
      </c>
      <c r="M17" s="1291"/>
      <c r="N17" s="1291">
        <f t="shared" ref="N17:N23" si="4">M17*20</f>
        <v>0</v>
      </c>
      <c r="O17" s="1291"/>
      <c r="Q17" s="1292"/>
      <c r="R17" s="1291"/>
      <c r="S17" s="1291" t="s">
        <v>729</v>
      </c>
      <c r="T17" s="1291"/>
      <c r="U17" s="1291">
        <f t="shared" ref="U17:U23" si="5">T17*20</f>
        <v>0</v>
      </c>
      <c r="V17" s="1291"/>
    </row>
    <row r="18" spans="3:22">
      <c r="C18" s="1292"/>
      <c r="D18" s="1291"/>
      <c r="E18" s="1291" t="s">
        <v>729</v>
      </c>
      <c r="F18" s="1291"/>
      <c r="G18" s="1291">
        <f t="shared" si="3"/>
        <v>0</v>
      </c>
      <c r="H18" s="1291"/>
      <c r="J18" s="1292"/>
      <c r="K18" s="1291"/>
      <c r="L18" s="1291" t="s">
        <v>729</v>
      </c>
      <c r="M18" s="1291"/>
      <c r="N18" s="1291">
        <f t="shared" si="4"/>
        <v>0</v>
      </c>
      <c r="O18" s="1291"/>
      <c r="Q18" s="1292"/>
      <c r="R18" s="1291"/>
      <c r="S18" s="1291" t="s">
        <v>729</v>
      </c>
      <c r="T18" s="1291"/>
      <c r="U18" s="1291">
        <f t="shared" si="5"/>
        <v>0</v>
      </c>
      <c r="V18" s="1291"/>
    </row>
    <row r="19" spans="3:22">
      <c r="C19" s="1292"/>
      <c r="D19" s="1291"/>
      <c r="E19" s="1291" t="s">
        <v>729</v>
      </c>
      <c r="F19" s="1291"/>
      <c r="G19" s="1291">
        <f t="shared" si="3"/>
        <v>0</v>
      </c>
      <c r="H19" s="1291"/>
      <c r="J19" s="1292"/>
      <c r="K19" s="1291"/>
      <c r="L19" s="1291" t="s">
        <v>729</v>
      </c>
      <c r="M19" s="1291"/>
      <c r="N19" s="1291">
        <f t="shared" si="4"/>
        <v>0</v>
      </c>
      <c r="O19" s="1291"/>
      <c r="Q19" s="1292"/>
      <c r="R19" s="1291"/>
      <c r="S19" s="1291" t="s">
        <v>729</v>
      </c>
      <c r="T19" s="1291"/>
      <c r="U19" s="1291">
        <f t="shared" si="5"/>
        <v>0</v>
      </c>
      <c r="V19" s="1291"/>
    </row>
    <row r="20" spans="3:22">
      <c r="C20" s="1292"/>
      <c r="D20" s="1291"/>
      <c r="E20" s="1291" t="s">
        <v>729</v>
      </c>
      <c r="F20" s="1291"/>
      <c r="G20" s="1291">
        <f t="shared" si="3"/>
        <v>0</v>
      </c>
      <c r="H20" s="1291"/>
      <c r="J20" s="1292"/>
      <c r="K20" s="1291"/>
      <c r="L20" s="1291" t="s">
        <v>729</v>
      </c>
      <c r="M20" s="1291"/>
      <c r="N20" s="1291">
        <f t="shared" si="4"/>
        <v>0</v>
      </c>
      <c r="O20" s="1291"/>
      <c r="Q20" s="1292"/>
      <c r="R20" s="1291"/>
      <c r="S20" s="1291" t="s">
        <v>729</v>
      </c>
      <c r="T20" s="1291"/>
      <c r="U20" s="1291">
        <f t="shared" si="5"/>
        <v>0</v>
      </c>
      <c r="V20" s="1291"/>
    </row>
    <row r="21" spans="3:22">
      <c r="C21" s="1292"/>
      <c r="D21" s="1293"/>
      <c r="E21" s="1291" t="s">
        <v>729</v>
      </c>
      <c r="F21" s="1291"/>
      <c r="G21" s="1291">
        <f t="shared" si="3"/>
        <v>0</v>
      </c>
      <c r="H21" s="1293"/>
      <c r="J21" s="1292"/>
      <c r="K21" s="1293"/>
      <c r="L21" s="1291" t="s">
        <v>729</v>
      </c>
      <c r="M21" s="1291"/>
      <c r="N21" s="1291">
        <f t="shared" si="4"/>
        <v>0</v>
      </c>
      <c r="O21" s="1293"/>
      <c r="Q21" s="1292"/>
      <c r="R21" s="1293"/>
      <c r="S21" s="1291" t="s">
        <v>729</v>
      </c>
      <c r="T21" s="1291"/>
      <c r="U21" s="1291">
        <f t="shared" si="5"/>
        <v>0</v>
      </c>
      <c r="V21" s="1293"/>
    </row>
    <row r="22" spans="3:22">
      <c r="C22" s="1292"/>
      <c r="D22" s="1293"/>
      <c r="E22" s="1291" t="s">
        <v>729</v>
      </c>
      <c r="F22" s="1291"/>
      <c r="G22" s="1291">
        <f t="shared" si="3"/>
        <v>0</v>
      </c>
      <c r="H22" s="1293"/>
      <c r="J22" s="1292"/>
      <c r="K22" s="1293"/>
      <c r="L22" s="1291" t="s">
        <v>729</v>
      </c>
      <c r="M22" s="1291"/>
      <c r="N22" s="1291">
        <f t="shared" si="4"/>
        <v>0</v>
      </c>
      <c r="O22" s="1293"/>
      <c r="Q22" s="1292"/>
      <c r="R22" s="1293"/>
      <c r="S22" s="1291" t="s">
        <v>729</v>
      </c>
      <c r="T22" s="1291"/>
      <c r="U22" s="1291">
        <f t="shared" si="5"/>
        <v>0</v>
      </c>
      <c r="V22" s="1293"/>
    </row>
    <row r="23" spans="3:22">
      <c r="C23" s="1294"/>
      <c r="D23" s="1293"/>
      <c r="E23" s="1291" t="s">
        <v>729</v>
      </c>
      <c r="F23" s="1291"/>
      <c r="G23" s="1291">
        <f t="shared" si="3"/>
        <v>0</v>
      </c>
      <c r="H23" s="1293"/>
      <c r="J23" s="1292"/>
      <c r="K23" s="1293"/>
      <c r="L23" s="1291" t="s">
        <v>729</v>
      </c>
      <c r="M23" s="1291"/>
      <c r="N23" s="1291">
        <f t="shared" si="4"/>
        <v>0</v>
      </c>
      <c r="O23" s="1293"/>
      <c r="Q23" s="1292"/>
      <c r="R23" s="1293"/>
      <c r="S23" s="1291" t="s">
        <v>729</v>
      </c>
      <c r="T23" s="1291"/>
      <c r="U23" s="1291">
        <f t="shared" si="5"/>
        <v>0</v>
      </c>
      <c r="V23" s="1293"/>
    </row>
    <row r="24" spans="3:22">
      <c r="G24" s="1295">
        <f>SUM(G5:G23)</f>
        <v>580</v>
      </c>
      <c r="N24" s="1295">
        <f>SUM(N5:N23)</f>
        <v>760</v>
      </c>
      <c r="U24" s="1295">
        <f>SUM(U5:U23)</f>
        <v>300</v>
      </c>
    </row>
  </sheetData>
  <phoneticPr fontId="119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DFE-97DC-499E-9EEB-111BB696B272}">
  <dimension ref="B2:K31"/>
  <sheetViews>
    <sheetView zoomScale="85" zoomScaleNormal="85" workbookViewId="0">
      <selection activeCell="G139" sqref="G139"/>
    </sheetView>
  </sheetViews>
  <sheetFormatPr defaultColWidth="9" defaultRowHeight="13.5"/>
  <cols>
    <col min="1" max="1" width="3.75" style="5" customWidth="1"/>
    <col min="2" max="2" width="8.125" style="407" customWidth="1"/>
    <col min="3" max="3" width="9.375" style="5" bestFit="1" customWidth="1"/>
    <col min="4" max="5" width="9.375" style="5" customWidth="1"/>
    <col min="6" max="6" width="18.875" style="5" bestFit="1" customWidth="1"/>
    <col min="7" max="7" width="19.875" style="235" bestFit="1" customWidth="1"/>
    <col min="8" max="8" width="46.5" style="5" bestFit="1" customWidth="1"/>
    <col min="9" max="9" width="23.75" style="5" bestFit="1" customWidth="1"/>
    <col min="10" max="10" width="86.75" style="5" bestFit="1" customWidth="1"/>
    <col min="11" max="11" width="56.875" style="5" customWidth="1"/>
    <col min="12" max="255" width="9" style="5"/>
    <col min="256" max="256" width="3.75" style="5" customWidth="1"/>
    <col min="257" max="511" width="9" style="5"/>
    <col min="512" max="512" width="3.75" style="5" customWidth="1"/>
    <col min="513" max="767" width="9" style="5"/>
    <col min="768" max="768" width="3.75" style="5" customWidth="1"/>
    <col min="769" max="1023" width="9" style="5"/>
    <col min="1024" max="1024" width="3.75" style="5" customWidth="1"/>
    <col min="1025" max="1279" width="9" style="5"/>
    <col min="1280" max="1280" width="3.75" style="5" customWidth="1"/>
    <col min="1281" max="1535" width="9" style="5"/>
    <col min="1536" max="1536" width="3.75" style="5" customWidth="1"/>
    <col min="1537" max="1791" width="9" style="5"/>
    <col min="1792" max="1792" width="3.75" style="5" customWidth="1"/>
    <col min="1793" max="2047" width="9" style="5"/>
    <col min="2048" max="2048" width="3.75" style="5" customWidth="1"/>
    <col min="2049" max="2303" width="9" style="5"/>
    <col min="2304" max="2304" width="3.75" style="5" customWidth="1"/>
    <col min="2305" max="2559" width="9" style="5"/>
    <col min="2560" max="2560" width="3.75" style="5" customWidth="1"/>
    <col min="2561" max="2815" width="9" style="5"/>
    <col min="2816" max="2816" width="3.75" style="5" customWidth="1"/>
    <col min="2817" max="3071" width="9" style="5"/>
    <col min="3072" max="3072" width="3.75" style="5" customWidth="1"/>
    <col min="3073" max="3327" width="9" style="5"/>
    <col min="3328" max="3328" width="3.75" style="5" customWidth="1"/>
    <col min="3329" max="3583" width="9" style="5"/>
    <col min="3584" max="3584" width="3.75" style="5" customWidth="1"/>
    <col min="3585" max="3839" width="9" style="5"/>
    <col min="3840" max="3840" width="3.75" style="5" customWidth="1"/>
    <col min="3841" max="4095" width="9" style="5"/>
    <col min="4096" max="4096" width="3.75" style="5" customWidth="1"/>
    <col min="4097" max="4351" width="9" style="5"/>
    <col min="4352" max="4352" width="3.75" style="5" customWidth="1"/>
    <col min="4353" max="4607" width="9" style="5"/>
    <col min="4608" max="4608" width="3.75" style="5" customWidth="1"/>
    <col min="4609" max="4863" width="9" style="5"/>
    <col min="4864" max="4864" width="3.75" style="5" customWidth="1"/>
    <col min="4865" max="5119" width="9" style="5"/>
    <col min="5120" max="5120" width="3.75" style="5" customWidth="1"/>
    <col min="5121" max="5375" width="9" style="5"/>
    <col min="5376" max="5376" width="3.75" style="5" customWidth="1"/>
    <col min="5377" max="5631" width="9" style="5"/>
    <col min="5632" max="5632" width="3.75" style="5" customWidth="1"/>
    <col min="5633" max="5887" width="9" style="5"/>
    <col min="5888" max="5888" width="3.75" style="5" customWidth="1"/>
    <col min="5889" max="6143" width="9" style="5"/>
    <col min="6144" max="6144" width="3.75" style="5" customWidth="1"/>
    <col min="6145" max="6399" width="9" style="5"/>
    <col min="6400" max="6400" width="3.75" style="5" customWidth="1"/>
    <col min="6401" max="6655" width="9" style="5"/>
    <col min="6656" max="6656" width="3.75" style="5" customWidth="1"/>
    <col min="6657" max="6911" width="9" style="5"/>
    <col min="6912" max="6912" width="3.75" style="5" customWidth="1"/>
    <col min="6913" max="7167" width="9" style="5"/>
    <col min="7168" max="7168" width="3.75" style="5" customWidth="1"/>
    <col min="7169" max="7423" width="9" style="5"/>
    <col min="7424" max="7424" width="3.75" style="5" customWidth="1"/>
    <col min="7425" max="7679" width="9" style="5"/>
    <col min="7680" max="7680" width="3.75" style="5" customWidth="1"/>
    <col min="7681" max="7935" width="9" style="5"/>
    <col min="7936" max="7936" width="3.75" style="5" customWidth="1"/>
    <col min="7937" max="8191" width="9" style="5"/>
    <col min="8192" max="8192" width="3.75" style="5" customWidth="1"/>
    <col min="8193" max="8447" width="9" style="5"/>
    <col min="8448" max="8448" width="3.75" style="5" customWidth="1"/>
    <col min="8449" max="8703" width="9" style="5"/>
    <col min="8704" max="8704" width="3.75" style="5" customWidth="1"/>
    <col min="8705" max="8959" width="9" style="5"/>
    <col min="8960" max="8960" width="3.75" style="5" customWidth="1"/>
    <col min="8961" max="9215" width="9" style="5"/>
    <col min="9216" max="9216" width="3.75" style="5" customWidth="1"/>
    <col min="9217" max="9471" width="9" style="5"/>
    <col min="9472" max="9472" width="3.75" style="5" customWidth="1"/>
    <col min="9473" max="9727" width="9" style="5"/>
    <col min="9728" max="9728" width="3.75" style="5" customWidth="1"/>
    <col min="9729" max="9983" width="9" style="5"/>
    <col min="9984" max="9984" width="3.75" style="5" customWidth="1"/>
    <col min="9985" max="10239" width="9" style="5"/>
    <col min="10240" max="10240" width="3.75" style="5" customWidth="1"/>
    <col min="10241" max="10495" width="9" style="5"/>
    <col min="10496" max="10496" width="3.75" style="5" customWidth="1"/>
    <col min="10497" max="10751" width="9" style="5"/>
    <col min="10752" max="10752" width="3.75" style="5" customWidth="1"/>
    <col min="10753" max="11007" width="9" style="5"/>
    <col min="11008" max="11008" width="3.75" style="5" customWidth="1"/>
    <col min="11009" max="11263" width="9" style="5"/>
    <col min="11264" max="11264" width="3.75" style="5" customWidth="1"/>
    <col min="11265" max="11519" width="9" style="5"/>
    <col min="11520" max="11520" width="3.75" style="5" customWidth="1"/>
    <col min="11521" max="11775" width="9" style="5"/>
    <col min="11776" max="11776" width="3.75" style="5" customWidth="1"/>
    <col min="11777" max="12031" width="9" style="5"/>
    <col min="12032" max="12032" width="3.75" style="5" customWidth="1"/>
    <col min="12033" max="12287" width="9" style="5"/>
    <col min="12288" max="12288" width="3.75" style="5" customWidth="1"/>
    <col min="12289" max="12543" width="9" style="5"/>
    <col min="12544" max="12544" width="3.75" style="5" customWidth="1"/>
    <col min="12545" max="12799" width="9" style="5"/>
    <col min="12800" max="12800" width="3.75" style="5" customWidth="1"/>
    <col min="12801" max="13055" width="9" style="5"/>
    <col min="13056" max="13056" width="3.75" style="5" customWidth="1"/>
    <col min="13057" max="13311" width="9" style="5"/>
    <col min="13312" max="13312" width="3.75" style="5" customWidth="1"/>
    <col min="13313" max="13567" width="9" style="5"/>
    <col min="13568" max="13568" width="3.75" style="5" customWidth="1"/>
    <col min="13569" max="13823" width="9" style="5"/>
    <col min="13824" max="13824" width="3.75" style="5" customWidth="1"/>
    <col min="13825" max="14079" width="9" style="5"/>
    <col min="14080" max="14080" width="3.75" style="5" customWidth="1"/>
    <col min="14081" max="14335" width="9" style="5"/>
    <col min="14336" max="14336" width="3.75" style="5" customWidth="1"/>
    <col min="14337" max="14591" width="9" style="5"/>
    <col min="14592" max="14592" width="3.75" style="5" customWidth="1"/>
    <col min="14593" max="14847" width="9" style="5"/>
    <col min="14848" max="14848" width="3.75" style="5" customWidth="1"/>
    <col min="14849" max="15103" width="9" style="5"/>
    <col min="15104" max="15104" width="3.75" style="5" customWidth="1"/>
    <col min="15105" max="15359" width="9" style="5"/>
    <col min="15360" max="15360" width="3.75" style="5" customWidth="1"/>
    <col min="15361" max="15615" width="9" style="5"/>
    <col min="15616" max="15616" width="3.75" style="5" customWidth="1"/>
    <col min="15617" max="15871" width="9" style="5"/>
    <col min="15872" max="15872" width="3.75" style="5" customWidth="1"/>
    <col min="15873" max="16127" width="9" style="5"/>
    <col min="16128" max="16128" width="3.75" style="5" customWidth="1"/>
    <col min="16129" max="16384" width="9" style="5"/>
  </cols>
  <sheetData>
    <row r="2" spans="2:11" ht="19.5">
      <c r="B2" s="406" t="s">
        <v>260</v>
      </c>
      <c r="G2" s="1513"/>
      <c r="H2" s="1513"/>
    </row>
    <row r="4" spans="2:11">
      <c r="B4" s="1548" t="s">
        <v>261</v>
      </c>
      <c r="C4" s="1548" t="s">
        <v>262</v>
      </c>
      <c r="D4" s="1549" t="s">
        <v>263</v>
      </c>
      <c r="E4" s="1549" t="s">
        <v>1185</v>
      </c>
      <c r="F4" s="1549" t="s">
        <v>264</v>
      </c>
      <c r="G4" s="426" t="s">
        <v>265</v>
      </c>
      <c r="H4" s="1548" t="s">
        <v>266</v>
      </c>
      <c r="I4" s="1548" t="s">
        <v>267</v>
      </c>
      <c r="J4" s="1548" t="s">
        <v>1137</v>
      </c>
      <c r="K4" s="1548"/>
    </row>
    <row r="5" spans="2:11">
      <c r="B5" s="1548"/>
      <c r="C5" s="1548"/>
      <c r="D5" s="1550"/>
      <c r="E5" s="1550"/>
      <c r="F5" s="1550"/>
      <c r="G5" s="236" t="s">
        <v>268</v>
      </c>
      <c r="H5" s="1548"/>
      <c r="I5" s="1548"/>
      <c r="J5" s="426" t="s">
        <v>1138</v>
      </c>
      <c r="K5" s="426" t="s">
        <v>1186</v>
      </c>
    </row>
    <row r="6" spans="2:11" ht="20.100000000000001" customHeight="1">
      <c r="B6" s="808">
        <v>1</v>
      </c>
      <c r="C6" s="809" t="s">
        <v>1187</v>
      </c>
      <c r="D6" s="809">
        <v>45343</v>
      </c>
      <c r="E6" s="809" t="s">
        <v>1041</v>
      </c>
      <c r="F6" s="810" t="s">
        <v>1188</v>
      </c>
      <c r="G6" s="812">
        <v>79</v>
      </c>
      <c r="H6" s="811" t="s">
        <v>1189</v>
      </c>
      <c r="I6" s="811" t="str">
        <f t="shared" ref="I6:I15" si="0">LEFT(H6,4)</f>
        <v>CSOT</v>
      </c>
      <c r="J6" s="811" t="s">
        <v>1190</v>
      </c>
      <c r="K6" s="811" t="s">
        <v>1191</v>
      </c>
    </row>
    <row r="7" spans="2:11" ht="20.100000000000001" customHeight="1">
      <c r="B7" s="808">
        <v>2</v>
      </c>
      <c r="C7" s="809" t="s">
        <v>1187</v>
      </c>
      <c r="D7" s="809">
        <v>45343</v>
      </c>
      <c r="E7" s="809" t="s">
        <v>1041</v>
      </c>
      <c r="F7" s="810" t="s">
        <v>1192</v>
      </c>
      <c r="G7" s="812">
        <v>2328</v>
      </c>
      <c r="H7" s="811" t="s">
        <v>1189</v>
      </c>
      <c r="I7" s="811" t="str">
        <f t="shared" si="0"/>
        <v>CSOT</v>
      </c>
      <c r="J7" s="811" t="s">
        <v>1193</v>
      </c>
      <c r="K7" s="811" t="s">
        <v>1194</v>
      </c>
    </row>
    <row r="8" spans="2:11" ht="20.100000000000001" customHeight="1">
      <c r="B8" s="808">
        <v>3</v>
      </c>
      <c r="C8" s="809" t="s">
        <v>1187</v>
      </c>
      <c r="D8" s="809">
        <v>45344</v>
      </c>
      <c r="E8" s="809" t="s">
        <v>1041</v>
      </c>
      <c r="F8" s="810" t="s">
        <v>1195</v>
      </c>
      <c r="G8" s="812">
        <v>135</v>
      </c>
      <c r="H8" s="811" t="s">
        <v>1189</v>
      </c>
      <c r="I8" s="811" t="str">
        <f t="shared" si="0"/>
        <v>CSOT</v>
      </c>
      <c r="J8" s="811" t="s">
        <v>1196</v>
      </c>
      <c r="K8" s="811" t="s">
        <v>1197</v>
      </c>
    </row>
    <row r="9" spans="2:11" ht="20.100000000000001" customHeight="1">
      <c r="B9" s="808">
        <v>4</v>
      </c>
      <c r="C9" s="809" t="s">
        <v>1187</v>
      </c>
      <c r="D9" s="809">
        <v>45344</v>
      </c>
      <c r="E9" s="809" t="s">
        <v>1041</v>
      </c>
      <c r="F9" s="810" t="s">
        <v>1188</v>
      </c>
      <c r="G9" s="812">
        <v>212</v>
      </c>
      <c r="H9" s="811" t="s">
        <v>1189</v>
      </c>
      <c r="I9" s="811" t="str">
        <f t="shared" si="0"/>
        <v>CSOT</v>
      </c>
      <c r="J9" s="811" t="s">
        <v>1198</v>
      </c>
      <c r="K9" s="811" t="s">
        <v>1199</v>
      </c>
    </row>
    <row r="10" spans="2:11" ht="20.100000000000001" customHeight="1">
      <c r="B10" s="808">
        <v>5</v>
      </c>
      <c r="C10" s="809" t="s">
        <v>1187</v>
      </c>
      <c r="D10" s="809">
        <v>45344</v>
      </c>
      <c r="E10" s="809" t="s">
        <v>1041</v>
      </c>
      <c r="F10" s="810" t="s">
        <v>1188</v>
      </c>
      <c r="G10" s="812">
        <v>59</v>
      </c>
      <c r="H10" s="811" t="s">
        <v>1189</v>
      </c>
      <c r="I10" s="811" t="str">
        <f t="shared" si="0"/>
        <v>CSOT</v>
      </c>
      <c r="J10" s="811" t="s">
        <v>1200</v>
      </c>
      <c r="K10" s="811" t="s">
        <v>1201</v>
      </c>
    </row>
    <row r="11" spans="2:11" ht="20.100000000000001" customHeight="1">
      <c r="B11" s="808">
        <v>6</v>
      </c>
      <c r="C11" s="809" t="s">
        <v>1187</v>
      </c>
      <c r="D11" s="809">
        <v>45349</v>
      </c>
      <c r="E11" s="809" t="s">
        <v>1041</v>
      </c>
      <c r="F11" s="810" t="s">
        <v>1192</v>
      </c>
      <c r="G11" s="812">
        <v>278</v>
      </c>
      <c r="H11" s="811" t="s">
        <v>1202</v>
      </c>
      <c r="I11" s="811" t="str">
        <f t="shared" si="0"/>
        <v xml:space="preserve">HKC </v>
      </c>
      <c r="J11" s="811" t="s">
        <v>1203</v>
      </c>
      <c r="K11" s="811" t="s">
        <v>1204</v>
      </c>
    </row>
    <row r="12" spans="2:11" ht="20.100000000000001" customHeight="1">
      <c r="B12" s="808">
        <v>7</v>
      </c>
      <c r="C12" s="809" t="s">
        <v>1187</v>
      </c>
      <c r="D12" s="809">
        <v>45359</v>
      </c>
      <c r="E12" s="809" t="s">
        <v>1041</v>
      </c>
      <c r="F12" s="810" t="s">
        <v>1192</v>
      </c>
      <c r="G12" s="812">
        <v>298</v>
      </c>
      <c r="H12" s="811" t="s">
        <v>1205</v>
      </c>
      <c r="I12" s="811" t="str">
        <f t="shared" si="0"/>
        <v xml:space="preserve">VD  </v>
      </c>
      <c r="J12" s="811" t="s">
        <v>1206</v>
      </c>
      <c r="K12" s="811" t="s">
        <v>1207</v>
      </c>
    </row>
    <row r="13" spans="2:11" ht="20.100000000000001" customHeight="1">
      <c r="B13" s="808">
        <v>8</v>
      </c>
      <c r="C13" s="809" t="s">
        <v>1187</v>
      </c>
      <c r="D13" s="809">
        <v>45363</v>
      </c>
      <c r="E13" s="809" t="s">
        <v>1041</v>
      </c>
      <c r="F13" s="810" t="s">
        <v>1188</v>
      </c>
      <c r="G13" s="812">
        <v>83.2</v>
      </c>
      <c r="H13" s="811" t="s">
        <v>1189</v>
      </c>
      <c r="I13" s="811" t="str">
        <f t="shared" si="0"/>
        <v>CSOT</v>
      </c>
      <c r="J13" s="811" t="s">
        <v>1208</v>
      </c>
      <c r="K13" s="811" t="s">
        <v>1209</v>
      </c>
    </row>
    <row r="14" spans="2:11">
      <c r="B14" s="808">
        <v>9</v>
      </c>
      <c r="C14" s="809" t="s">
        <v>1187</v>
      </c>
      <c r="D14" s="809">
        <v>45363</v>
      </c>
      <c r="E14" s="809" t="s">
        <v>1041</v>
      </c>
      <c r="F14" s="810" t="s">
        <v>1195</v>
      </c>
      <c r="G14" s="812">
        <v>268</v>
      </c>
      <c r="H14" s="811" t="s">
        <v>1189</v>
      </c>
      <c r="I14" s="811" t="str">
        <f t="shared" si="0"/>
        <v>CSOT</v>
      </c>
      <c r="J14" s="811" t="s">
        <v>1200</v>
      </c>
      <c r="K14" s="811" t="s">
        <v>1209</v>
      </c>
    </row>
    <row r="15" spans="2:11">
      <c r="B15" s="808">
        <v>10</v>
      </c>
      <c r="C15" s="809" t="s">
        <v>1187</v>
      </c>
      <c r="D15" s="809">
        <v>45364</v>
      </c>
      <c r="E15" s="809" t="s">
        <v>1041</v>
      </c>
      <c r="F15" s="810" t="s">
        <v>1188</v>
      </c>
      <c r="G15" s="812">
        <v>42</v>
      </c>
      <c r="H15" s="811" t="s">
        <v>1189</v>
      </c>
      <c r="I15" s="811" t="str">
        <f t="shared" si="0"/>
        <v>CSOT</v>
      </c>
      <c r="J15" s="811" t="s">
        <v>1200</v>
      </c>
      <c r="K15" s="811" t="s">
        <v>1210</v>
      </c>
    </row>
    <row r="16" spans="2:11">
      <c r="B16" s="808">
        <v>11</v>
      </c>
      <c r="C16" s="809" t="s">
        <v>1187</v>
      </c>
      <c r="D16" s="809">
        <v>45345</v>
      </c>
      <c r="E16" s="809" t="s">
        <v>859</v>
      </c>
      <c r="F16" s="810" t="s">
        <v>1211</v>
      </c>
      <c r="G16" s="813">
        <v>661</v>
      </c>
      <c r="H16" s="811" t="s">
        <v>1212</v>
      </c>
      <c r="I16" s="811" t="s">
        <v>768</v>
      </c>
      <c r="J16" s="811" t="s">
        <v>1213</v>
      </c>
      <c r="K16" s="811" t="s">
        <v>1214</v>
      </c>
    </row>
    <row r="17" spans="2:11">
      <c r="B17" s="808">
        <v>12</v>
      </c>
      <c r="C17" s="809" t="s">
        <v>1187</v>
      </c>
      <c r="D17" s="809">
        <v>45362</v>
      </c>
      <c r="E17" s="809" t="s">
        <v>859</v>
      </c>
      <c r="F17" s="810" t="s">
        <v>1215</v>
      </c>
      <c r="G17" s="813">
        <v>345</v>
      </c>
      <c r="H17" s="811" t="s">
        <v>1216</v>
      </c>
      <c r="I17" s="811" t="s">
        <v>768</v>
      </c>
      <c r="J17" s="811" t="s">
        <v>1217</v>
      </c>
      <c r="K17" s="811" t="s">
        <v>1218</v>
      </c>
    </row>
    <row r="18" spans="2:11">
      <c r="B18" s="808">
        <v>13</v>
      </c>
      <c r="C18" s="809" t="s">
        <v>1187</v>
      </c>
      <c r="D18" s="809">
        <v>45364</v>
      </c>
      <c r="E18" s="809" t="s">
        <v>859</v>
      </c>
      <c r="F18" s="810" t="s">
        <v>1219</v>
      </c>
      <c r="G18" s="813">
        <v>165</v>
      </c>
      <c r="H18" s="811" t="s">
        <v>1220</v>
      </c>
      <c r="I18" s="811" t="s">
        <v>272</v>
      </c>
      <c r="J18" s="811" t="s">
        <v>1221</v>
      </c>
      <c r="K18" s="811" t="s">
        <v>1218</v>
      </c>
    </row>
    <row r="19" spans="2:11">
      <c r="B19" s="808">
        <v>14</v>
      </c>
      <c r="C19" s="809" t="s">
        <v>1187</v>
      </c>
      <c r="D19" s="809">
        <v>45296</v>
      </c>
      <c r="E19" s="809" t="s">
        <v>859</v>
      </c>
      <c r="F19" s="810" t="s">
        <v>1222</v>
      </c>
      <c r="G19" s="812">
        <v>143</v>
      </c>
      <c r="H19" s="811" t="s">
        <v>1223</v>
      </c>
      <c r="I19" s="811" t="s">
        <v>272</v>
      </c>
      <c r="J19" s="811" t="s">
        <v>1224</v>
      </c>
      <c r="K19" s="811" t="s">
        <v>1214</v>
      </c>
    </row>
    <row r="20" spans="2:11">
      <c r="B20" s="808">
        <v>15</v>
      </c>
      <c r="C20" s="809" t="s">
        <v>1187</v>
      </c>
      <c r="D20" s="809">
        <v>45344</v>
      </c>
      <c r="E20" s="809" t="s">
        <v>1225</v>
      </c>
      <c r="F20" s="810" t="s">
        <v>1192</v>
      </c>
      <c r="G20" s="812">
        <v>267</v>
      </c>
      <c r="H20" s="811" t="s">
        <v>1226</v>
      </c>
      <c r="I20" s="811" t="s">
        <v>1227</v>
      </c>
      <c r="J20" s="811" t="s">
        <v>1228</v>
      </c>
      <c r="K20" s="811" t="s">
        <v>1229</v>
      </c>
    </row>
    <row r="21" spans="2:11">
      <c r="B21" s="808">
        <v>16</v>
      </c>
      <c r="C21" s="809" t="s">
        <v>1187</v>
      </c>
      <c r="D21" s="809">
        <v>45366</v>
      </c>
      <c r="E21" s="809" t="s">
        <v>1230</v>
      </c>
      <c r="F21" s="810" t="s">
        <v>1192</v>
      </c>
      <c r="G21" s="812">
        <v>149</v>
      </c>
      <c r="H21" s="811" t="s">
        <v>1231</v>
      </c>
      <c r="I21" s="811" t="s">
        <v>969</v>
      </c>
      <c r="J21" s="811" t="s">
        <v>1232</v>
      </c>
      <c r="K21" s="811" t="s">
        <v>1230</v>
      </c>
    </row>
    <row r="22" spans="2:11">
      <c r="B22" s="808">
        <v>17</v>
      </c>
      <c r="C22" s="809" t="s">
        <v>1233</v>
      </c>
      <c r="D22" s="809" t="s">
        <v>1234</v>
      </c>
      <c r="E22" s="809" t="s">
        <v>247</v>
      </c>
      <c r="F22" s="810" t="s">
        <v>1192</v>
      </c>
      <c r="G22" s="814">
        <v>290</v>
      </c>
      <c r="H22" s="811" t="s">
        <v>1189</v>
      </c>
      <c r="I22" s="811" t="s">
        <v>272</v>
      </c>
      <c r="J22" s="811" t="s">
        <v>1235</v>
      </c>
      <c r="K22" s="811" t="s">
        <v>1236</v>
      </c>
    </row>
    <row r="23" spans="2:11">
      <c r="B23" s="808">
        <v>18</v>
      </c>
      <c r="C23" s="809" t="s">
        <v>1233</v>
      </c>
      <c r="D23" s="809" t="s">
        <v>1237</v>
      </c>
      <c r="E23" s="809" t="s">
        <v>1238</v>
      </c>
      <c r="F23" s="810" t="s">
        <v>1192</v>
      </c>
      <c r="G23" s="814">
        <v>898</v>
      </c>
      <c r="H23" s="811" t="s">
        <v>1239</v>
      </c>
      <c r="I23" s="811" t="s">
        <v>1240</v>
      </c>
      <c r="J23" s="811" t="s">
        <v>1241</v>
      </c>
      <c r="K23" s="811" t="s">
        <v>247</v>
      </c>
    </row>
    <row r="24" spans="2:11">
      <c r="B24" s="808">
        <v>19</v>
      </c>
      <c r="C24" s="809" t="s">
        <v>1233</v>
      </c>
      <c r="D24" s="809" t="s">
        <v>1242</v>
      </c>
      <c r="E24" s="809" t="s">
        <v>247</v>
      </c>
      <c r="F24" s="810" t="s">
        <v>1192</v>
      </c>
      <c r="G24" s="814">
        <v>549</v>
      </c>
      <c r="H24" s="811" t="s">
        <v>1189</v>
      </c>
      <c r="I24" s="811" t="s">
        <v>272</v>
      </c>
      <c r="J24" s="811" t="s">
        <v>1243</v>
      </c>
      <c r="K24" s="811" t="s">
        <v>1244</v>
      </c>
    </row>
    <row r="25" spans="2:11">
      <c r="B25" s="808">
        <v>20</v>
      </c>
      <c r="C25" s="809" t="s">
        <v>1233</v>
      </c>
      <c r="D25" s="809" t="s">
        <v>1245</v>
      </c>
      <c r="E25" s="809" t="s">
        <v>247</v>
      </c>
      <c r="F25" s="810" t="s">
        <v>833</v>
      </c>
      <c r="G25" s="814">
        <v>47.5</v>
      </c>
      <c r="H25" s="811" t="s">
        <v>1202</v>
      </c>
      <c r="I25" s="811" t="s">
        <v>768</v>
      </c>
      <c r="J25" s="811" t="s">
        <v>1246</v>
      </c>
      <c r="K25" s="811" t="s">
        <v>1247</v>
      </c>
    </row>
    <row r="26" spans="2:11">
      <c r="B26" s="808">
        <v>21</v>
      </c>
      <c r="C26" s="809" t="s">
        <v>1233</v>
      </c>
      <c r="D26" s="809" t="s">
        <v>1245</v>
      </c>
      <c r="E26" s="809" t="s">
        <v>247</v>
      </c>
      <c r="F26" s="810" t="s">
        <v>1248</v>
      </c>
      <c r="G26" s="814">
        <v>3300</v>
      </c>
      <c r="H26" s="811" t="s">
        <v>1189</v>
      </c>
      <c r="I26" s="811" t="s">
        <v>272</v>
      </c>
      <c r="J26" s="811" t="s">
        <v>1249</v>
      </c>
      <c r="K26" s="811" t="s">
        <v>1250</v>
      </c>
    </row>
    <row r="27" spans="2:11">
      <c r="B27" s="808">
        <v>22</v>
      </c>
      <c r="C27" s="809" t="s">
        <v>1233</v>
      </c>
      <c r="D27" s="809" t="s">
        <v>1251</v>
      </c>
      <c r="E27" s="809" t="s">
        <v>247</v>
      </c>
      <c r="F27" s="810" t="s">
        <v>833</v>
      </c>
      <c r="G27" s="814">
        <v>55.5</v>
      </c>
      <c r="H27" s="811" t="s">
        <v>1202</v>
      </c>
      <c r="I27" s="811" t="s">
        <v>768</v>
      </c>
      <c r="J27" s="811" t="s">
        <v>1246</v>
      </c>
      <c r="K27" s="811" t="s">
        <v>1247</v>
      </c>
    </row>
    <row r="28" spans="2:11">
      <c r="B28" s="808">
        <v>23</v>
      </c>
      <c r="C28" s="809" t="s">
        <v>1233</v>
      </c>
      <c r="D28" s="809" t="s">
        <v>1252</v>
      </c>
      <c r="E28" s="809" t="s">
        <v>247</v>
      </c>
      <c r="F28" s="810" t="s">
        <v>1253</v>
      </c>
      <c r="G28" s="814">
        <v>354</v>
      </c>
      <c r="H28" s="811" t="s">
        <v>1189</v>
      </c>
      <c r="I28" s="811" t="s">
        <v>272</v>
      </c>
      <c r="J28" s="811" t="s">
        <v>1254</v>
      </c>
      <c r="K28" s="811" t="s">
        <v>1247</v>
      </c>
    </row>
    <row r="29" spans="2:11">
      <c r="B29" s="808">
        <v>24</v>
      </c>
      <c r="C29" s="809" t="s">
        <v>1233</v>
      </c>
      <c r="D29" s="809" t="s">
        <v>1252</v>
      </c>
      <c r="E29" s="809" t="s">
        <v>247</v>
      </c>
      <c r="F29" s="810" t="s">
        <v>1255</v>
      </c>
      <c r="G29" s="814">
        <v>919</v>
      </c>
      <c r="H29" s="811" t="s">
        <v>1189</v>
      </c>
      <c r="I29" s="811" t="s">
        <v>272</v>
      </c>
      <c r="J29" s="811" t="s">
        <v>1254</v>
      </c>
      <c r="K29" s="811" t="s">
        <v>1247</v>
      </c>
    </row>
    <row r="30" spans="2:11">
      <c r="B30" s="808">
        <v>25</v>
      </c>
      <c r="C30" s="809" t="s">
        <v>1233</v>
      </c>
      <c r="D30" s="809" t="s">
        <v>1252</v>
      </c>
      <c r="E30" s="809" t="s">
        <v>247</v>
      </c>
      <c r="F30" s="810" t="s">
        <v>1255</v>
      </c>
      <c r="G30" s="814">
        <v>180</v>
      </c>
      <c r="H30" s="811" t="s">
        <v>1189</v>
      </c>
      <c r="I30" s="811" t="s">
        <v>272</v>
      </c>
      <c r="J30" s="811" t="s">
        <v>1256</v>
      </c>
      <c r="K30" s="811" t="s">
        <v>1247</v>
      </c>
    </row>
    <row r="31" spans="2:11">
      <c r="G31" s="5">
        <f>SUM(G6:G30)</f>
        <v>12105.2</v>
      </c>
    </row>
  </sheetData>
  <mergeCells count="9">
    <mergeCell ref="I4:I5"/>
    <mergeCell ref="J4:K4"/>
    <mergeCell ref="G2:H2"/>
    <mergeCell ref="B4:B5"/>
    <mergeCell ref="C4:C5"/>
    <mergeCell ref="D4:D5"/>
    <mergeCell ref="E4:E5"/>
    <mergeCell ref="F4:F5"/>
    <mergeCell ref="H4:H5"/>
  </mergeCells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FBE-7819-4856-A7D2-569EC6342A4B}">
  <sheetPr>
    <tabColor theme="0" tint="-4.9989318521683403E-2"/>
  </sheetPr>
  <dimension ref="B2:J17"/>
  <sheetViews>
    <sheetView zoomScale="85" zoomScaleNormal="85" workbookViewId="0">
      <selection activeCell="G17" sqref="G17"/>
    </sheetView>
  </sheetViews>
  <sheetFormatPr defaultColWidth="9" defaultRowHeight="13.5"/>
  <cols>
    <col min="1" max="1" width="3.75" style="326" customWidth="1"/>
    <col min="2" max="2" width="8.125" style="334" customWidth="1"/>
    <col min="3" max="3" width="9.375" style="326" bestFit="1" customWidth="1"/>
    <col min="4" max="4" width="9.375" style="326" customWidth="1"/>
    <col min="5" max="5" width="7.375" style="326" bestFit="1" customWidth="1"/>
    <col min="6" max="6" width="19.875" style="235" bestFit="1" customWidth="1"/>
    <col min="7" max="7" width="12.75" style="326" customWidth="1"/>
    <col min="8" max="8" width="46.625" style="326" bestFit="1" customWidth="1"/>
    <col min="9" max="9" width="23.75" style="326" bestFit="1" customWidth="1"/>
    <col min="10" max="10" width="101.875" style="326" bestFit="1" customWidth="1"/>
    <col min="11" max="256" width="9" style="326"/>
    <col min="257" max="257" width="3.75" style="326" customWidth="1"/>
    <col min="258" max="512" width="9" style="326"/>
    <col min="513" max="513" width="3.75" style="326" customWidth="1"/>
    <col min="514" max="768" width="9" style="326"/>
    <col min="769" max="769" width="3.75" style="326" customWidth="1"/>
    <col min="770" max="1024" width="9" style="326"/>
    <col min="1025" max="1025" width="3.75" style="326" customWidth="1"/>
    <col min="1026" max="1280" width="9" style="326"/>
    <col min="1281" max="1281" width="3.75" style="326" customWidth="1"/>
    <col min="1282" max="1536" width="9" style="326"/>
    <col min="1537" max="1537" width="3.75" style="326" customWidth="1"/>
    <col min="1538" max="1792" width="9" style="326"/>
    <col min="1793" max="1793" width="3.75" style="326" customWidth="1"/>
    <col min="1794" max="2048" width="9" style="326"/>
    <col min="2049" max="2049" width="3.75" style="326" customWidth="1"/>
    <col min="2050" max="2304" width="9" style="326"/>
    <col min="2305" max="2305" width="3.75" style="326" customWidth="1"/>
    <col min="2306" max="2560" width="9" style="326"/>
    <col min="2561" max="2561" width="3.75" style="326" customWidth="1"/>
    <col min="2562" max="2816" width="9" style="326"/>
    <col min="2817" max="2817" width="3.75" style="326" customWidth="1"/>
    <col min="2818" max="3072" width="9" style="326"/>
    <col min="3073" max="3073" width="3.75" style="326" customWidth="1"/>
    <col min="3074" max="3328" width="9" style="326"/>
    <col min="3329" max="3329" width="3.75" style="326" customWidth="1"/>
    <col min="3330" max="3584" width="9" style="326"/>
    <col min="3585" max="3585" width="3.75" style="326" customWidth="1"/>
    <col min="3586" max="3840" width="9" style="326"/>
    <col min="3841" max="3841" width="3.75" style="326" customWidth="1"/>
    <col min="3842" max="4096" width="9" style="326"/>
    <col min="4097" max="4097" width="3.75" style="326" customWidth="1"/>
    <col min="4098" max="4352" width="9" style="326"/>
    <col min="4353" max="4353" width="3.75" style="326" customWidth="1"/>
    <col min="4354" max="4608" width="9" style="326"/>
    <col min="4609" max="4609" width="3.75" style="326" customWidth="1"/>
    <col min="4610" max="4864" width="9" style="326"/>
    <col min="4865" max="4865" width="3.75" style="326" customWidth="1"/>
    <col min="4866" max="5120" width="9" style="326"/>
    <col min="5121" max="5121" width="3.75" style="326" customWidth="1"/>
    <col min="5122" max="5376" width="9" style="326"/>
    <col min="5377" max="5377" width="3.75" style="326" customWidth="1"/>
    <col min="5378" max="5632" width="9" style="326"/>
    <col min="5633" max="5633" width="3.75" style="326" customWidth="1"/>
    <col min="5634" max="5888" width="9" style="326"/>
    <col min="5889" max="5889" width="3.75" style="326" customWidth="1"/>
    <col min="5890" max="6144" width="9" style="326"/>
    <col min="6145" max="6145" width="3.75" style="326" customWidth="1"/>
    <col min="6146" max="6400" width="9" style="326"/>
    <col min="6401" max="6401" width="3.75" style="326" customWidth="1"/>
    <col min="6402" max="6656" width="9" style="326"/>
    <col min="6657" max="6657" width="3.75" style="326" customWidth="1"/>
    <col min="6658" max="6912" width="9" style="326"/>
    <col min="6913" max="6913" width="3.75" style="326" customWidth="1"/>
    <col min="6914" max="7168" width="9" style="326"/>
    <col min="7169" max="7169" width="3.75" style="326" customWidth="1"/>
    <col min="7170" max="7424" width="9" style="326"/>
    <col min="7425" max="7425" width="3.75" style="326" customWidth="1"/>
    <col min="7426" max="7680" width="9" style="326"/>
    <col min="7681" max="7681" width="3.75" style="326" customWidth="1"/>
    <col min="7682" max="7936" width="9" style="326"/>
    <col min="7937" max="7937" width="3.75" style="326" customWidth="1"/>
    <col min="7938" max="8192" width="9" style="326"/>
    <col min="8193" max="8193" width="3.75" style="326" customWidth="1"/>
    <col min="8194" max="8448" width="9" style="326"/>
    <col min="8449" max="8449" width="3.75" style="326" customWidth="1"/>
    <col min="8450" max="8704" width="9" style="326"/>
    <col min="8705" max="8705" width="3.75" style="326" customWidth="1"/>
    <col min="8706" max="8960" width="9" style="326"/>
    <col min="8961" max="8961" width="3.75" style="326" customWidth="1"/>
    <col min="8962" max="9216" width="9" style="326"/>
    <col min="9217" max="9217" width="3.75" style="326" customWidth="1"/>
    <col min="9218" max="9472" width="9" style="326"/>
    <col min="9473" max="9473" width="3.75" style="326" customWidth="1"/>
    <col min="9474" max="9728" width="9" style="326"/>
    <col min="9729" max="9729" width="3.75" style="326" customWidth="1"/>
    <col min="9730" max="9984" width="9" style="326"/>
    <col min="9985" max="9985" width="3.75" style="326" customWidth="1"/>
    <col min="9986" max="10240" width="9" style="326"/>
    <col min="10241" max="10241" width="3.75" style="326" customWidth="1"/>
    <col min="10242" max="10496" width="9" style="326"/>
    <col min="10497" max="10497" width="3.75" style="326" customWidth="1"/>
    <col min="10498" max="10752" width="9" style="326"/>
    <col min="10753" max="10753" width="3.75" style="326" customWidth="1"/>
    <col min="10754" max="11008" width="9" style="326"/>
    <col min="11009" max="11009" width="3.75" style="326" customWidth="1"/>
    <col min="11010" max="11264" width="9" style="326"/>
    <col min="11265" max="11265" width="3.75" style="326" customWidth="1"/>
    <col min="11266" max="11520" width="9" style="326"/>
    <col min="11521" max="11521" width="3.75" style="326" customWidth="1"/>
    <col min="11522" max="11776" width="9" style="326"/>
    <col min="11777" max="11777" width="3.75" style="326" customWidth="1"/>
    <col min="11778" max="12032" width="9" style="326"/>
    <col min="12033" max="12033" width="3.75" style="326" customWidth="1"/>
    <col min="12034" max="12288" width="9" style="326"/>
    <col min="12289" max="12289" width="3.75" style="326" customWidth="1"/>
    <col min="12290" max="12544" width="9" style="326"/>
    <col min="12545" max="12545" width="3.75" style="326" customWidth="1"/>
    <col min="12546" max="12800" width="9" style="326"/>
    <col min="12801" max="12801" width="3.75" style="326" customWidth="1"/>
    <col min="12802" max="13056" width="9" style="326"/>
    <col min="13057" max="13057" width="3.75" style="326" customWidth="1"/>
    <col min="13058" max="13312" width="9" style="326"/>
    <col min="13313" max="13313" width="3.75" style="326" customWidth="1"/>
    <col min="13314" max="13568" width="9" style="326"/>
    <col min="13569" max="13569" width="3.75" style="326" customWidth="1"/>
    <col min="13570" max="13824" width="9" style="326"/>
    <col min="13825" max="13825" width="3.75" style="326" customWidth="1"/>
    <col min="13826" max="14080" width="9" style="326"/>
    <col min="14081" max="14081" width="3.75" style="326" customWidth="1"/>
    <col min="14082" max="14336" width="9" style="326"/>
    <col min="14337" max="14337" width="3.75" style="326" customWidth="1"/>
    <col min="14338" max="14592" width="9" style="326"/>
    <col min="14593" max="14593" width="3.75" style="326" customWidth="1"/>
    <col min="14594" max="14848" width="9" style="326"/>
    <col min="14849" max="14849" width="3.75" style="326" customWidth="1"/>
    <col min="14850" max="15104" width="9" style="326"/>
    <col min="15105" max="15105" width="3.75" style="326" customWidth="1"/>
    <col min="15106" max="15360" width="9" style="326"/>
    <col min="15361" max="15361" width="3.75" style="326" customWidth="1"/>
    <col min="15362" max="15616" width="9" style="326"/>
    <col min="15617" max="15617" width="3.75" style="326" customWidth="1"/>
    <col min="15618" max="15872" width="9" style="326"/>
    <col min="15873" max="15873" width="3.75" style="326" customWidth="1"/>
    <col min="15874" max="16128" width="9" style="326"/>
    <col min="16129" max="16129" width="3.75" style="326" customWidth="1"/>
    <col min="16130" max="16384" width="9" style="326"/>
  </cols>
  <sheetData>
    <row r="2" spans="2:10" ht="19.5">
      <c r="B2" s="325" t="s">
        <v>260</v>
      </c>
      <c r="F2" s="1513"/>
      <c r="G2" s="1513"/>
      <c r="H2" s="1513"/>
    </row>
    <row r="4" spans="2:10">
      <c r="B4" s="1512" t="s">
        <v>261</v>
      </c>
      <c r="C4" s="1512" t="s">
        <v>262</v>
      </c>
      <c r="D4" s="1514" t="s">
        <v>263</v>
      </c>
      <c r="E4" s="1514" t="s">
        <v>264</v>
      </c>
      <c r="F4" s="1512" t="s">
        <v>265</v>
      </c>
      <c r="G4" s="1512"/>
      <c r="H4" s="1512" t="s">
        <v>266</v>
      </c>
      <c r="I4" s="1512" t="s">
        <v>267</v>
      </c>
      <c r="J4" s="347"/>
    </row>
    <row r="5" spans="2:10">
      <c r="B5" s="1512"/>
      <c r="C5" s="1512"/>
      <c r="D5" s="1515"/>
      <c r="E5" s="1515"/>
      <c r="F5" s="236" t="s">
        <v>268</v>
      </c>
      <c r="G5" s="347" t="s">
        <v>743</v>
      </c>
      <c r="H5" s="1512"/>
      <c r="I5" s="1512"/>
      <c r="J5" s="347" t="s">
        <v>269</v>
      </c>
    </row>
    <row r="6" spans="2:10" ht="20.100000000000001" customHeight="1">
      <c r="B6" s="327">
        <v>1</v>
      </c>
      <c r="C6" s="328"/>
      <c r="D6" s="328">
        <v>45254</v>
      </c>
      <c r="E6" s="328" t="s">
        <v>1041</v>
      </c>
      <c r="F6" s="329" t="s">
        <v>833</v>
      </c>
      <c r="G6" s="477">
        <v>55</v>
      </c>
      <c r="H6" s="330" t="s">
        <v>915</v>
      </c>
      <c r="I6" s="330" t="s">
        <v>272</v>
      </c>
      <c r="J6" s="331" t="s">
        <v>1043</v>
      </c>
    </row>
    <row r="7" spans="2:10" ht="20.100000000000001" customHeight="1">
      <c r="B7" s="327">
        <v>2</v>
      </c>
      <c r="C7" s="328"/>
      <c r="D7" s="328">
        <v>45257</v>
      </c>
      <c r="E7" s="328" t="s">
        <v>1041</v>
      </c>
      <c r="F7" s="329" t="s">
        <v>833</v>
      </c>
      <c r="G7" s="478">
        <v>92</v>
      </c>
      <c r="H7" s="330" t="s">
        <v>915</v>
      </c>
      <c r="I7" s="330" t="s">
        <v>272</v>
      </c>
      <c r="J7" s="331" t="s">
        <v>1044</v>
      </c>
    </row>
    <row r="8" spans="2:10" ht="20.100000000000001" customHeight="1">
      <c r="B8" s="327">
        <v>3</v>
      </c>
      <c r="C8" s="328"/>
      <c r="D8" s="328">
        <v>45257</v>
      </c>
      <c r="E8" s="328" t="s">
        <v>1041</v>
      </c>
      <c r="F8" s="329" t="s">
        <v>271</v>
      </c>
      <c r="G8" s="478">
        <v>680.4</v>
      </c>
      <c r="H8" s="330" t="s">
        <v>915</v>
      </c>
      <c r="I8" s="330" t="s">
        <v>272</v>
      </c>
      <c r="J8" s="331" t="s">
        <v>1045</v>
      </c>
    </row>
    <row r="9" spans="2:10" ht="20.100000000000001" customHeight="1">
      <c r="B9" s="327">
        <v>4</v>
      </c>
      <c r="C9" s="328"/>
      <c r="D9" s="328">
        <v>45264</v>
      </c>
      <c r="E9" s="328" t="s">
        <v>1041</v>
      </c>
      <c r="F9" s="329" t="s">
        <v>1046</v>
      </c>
      <c r="G9" s="477">
        <v>243</v>
      </c>
      <c r="H9" s="330" t="s">
        <v>915</v>
      </c>
      <c r="I9" s="330" t="s">
        <v>969</v>
      </c>
      <c r="J9" s="331" t="s">
        <v>1047</v>
      </c>
    </row>
    <row r="10" spans="2:10" ht="20.100000000000001" customHeight="1">
      <c r="B10" s="327">
        <v>5</v>
      </c>
      <c r="C10" s="328"/>
      <c r="D10" s="332">
        <v>45261</v>
      </c>
      <c r="E10" s="332" t="s">
        <v>859</v>
      </c>
      <c r="F10" s="329" t="s">
        <v>1042</v>
      </c>
      <c r="G10" s="478">
        <v>81</v>
      </c>
      <c r="H10" s="330" t="s">
        <v>915</v>
      </c>
      <c r="I10" s="330" t="s">
        <v>272</v>
      </c>
      <c r="J10" s="331" t="s">
        <v>1048</v>
      </c>
    </row>
    <row r="11" spans="2:10" ht="20.100000000000001" customHeight="1">
      <c r="B11" s="327">
        <v>6</v>
      </c>
      <c r="C11" s="328"/>
      <c r="D11" s="333">
        <v>45263</v>
      </c>
      <c r="E11" s="332" t="s">
        <v>859</v>
      </c>
      <c r="F11" s="329" t="s">
        <v>1046</v>
      </c>
      <c r="G11" s="478">
        <v>899</v>
      </c>
      <c r="H11" s="330" t="s">
        <v>915</v>
      </c>
      <c r="I11" s="330" t="s">
        <v>969</v>
      </c>
      <c r="J11" s="331" t="s">
        <v>1049</v>
      </c>
    </row>
    <row r="12" spans="2:10" ht="20.100000000000001" customHeight="1">
      <c r="B12" s="327">
        <v>7</v>
      </c>
      <c r="C12" s="328"/>
      <c r="D12" s="333">
        <v>45264</v>
      </c>
      <c r="E12" s="332" t="s">
        <v>859</v>
      </c>
      <c r="F12" s="329" t="s">
        <v>1046</v>
      </c>
      <c r="G12" s="478">
        <v>762</v>
      </c>
      <c r="H12" s="330" t="s">
        <v>915</v>
      </c>
      <c r="I12" s="330" t="s">
        <v>969</v>
      </c>
      <c r="J12" s="331" t="s">
        <v>1049</v>
      </c>
    </row>
    <row r="13" spans="2:10" ht="20.100000000000001" customHeight="1">
      <c r="B13" s="327">
        <v>8</v>
      </c>
      <c r="C13" s="328"/>
      <c r="D13" s="333">
        <v>45269</v>
      </c>
      <c r="E13" s="333" t="s">
        <v>247</v>
      </c>
      <c r="F13" s="329" t="s">
        <v>1050</v>
      </c>
      <c r="G13" s="478">
        <v>784</v>
      </c>
      <c r="H13" s="330" t="s">
        <v>915</v>
      </c>
      <c r="I13" s="330" t="s">
        <v>272</v>
      </c>
      <c r="J13" s="331" t="s">
        <v>1051</v>
      </c>
    </row>
    <row r="14" spans="2:10">
      <c r="B14" s="327">
        <v>9</v>
      </c>
      <c r="C14" s="328"/>
      <c r="D14" s="333">
        <v>45269</v>
      </c>
      <c r="E14" s="333" t="s">
        <v>247</v>
      </c>
      <c r="F14" s="329" t="s">
        <v>1050</v>
      </c>
      <c r="G14" s="478">
        <v>683</v>
      </c>
      <c r="H14" s="330" t="s">
        <v>915</v>
      </c>
      <c r="I14" s="330" t="s">
        <v>272</v>
      </c>
      <c r="J14" s="331" t="s">
        <v>1052</v>
      </c>
    </row>
    <row r="15" spans="2:10">
      <c r="B15" s="327">
        <v>10</v>
      </c>
      <c r="C15" s="328"/>
      <c r="D15" s="333">
        <v>45259</v>
      </c>
      <c r="E15" s="333" t="s">
        <v>247</v>
      </c>
      <c r="F15" s="329" t="s">
        <v>271</v>
      </c>
      <c r="G15" s="478">
        <v>738</v>
      </c>
      <c r="H15" s="330" t="s">
        <v>915</v>
      </c>
      <c r="I15" s="330" t="s">
        <v>272</v>
      </c>
      <c r="J15" s="331" t="s">
        <v>1053</v>
      </c>
    </row>
    <row r="16" spans="2:10">
      <c r="B16" s="327">
        <v>11</v>
      </c>
      <c r="C16" s="328"/>
      <c r="D16" s="333">
        <v>45280</v>
      </c>
      <c r="E16" s="333" t="s">
        <v>247</v>
      </c>
      <c r="F16" s="329" t="s">
        <v>833</v>
      </c>
      <c r="G16" s="478">
        <v>285</v>
      </c>
      <c r="H16" s="330" t="s">
        <v>915</v>
      </c>
      <c r="I16" s="330" t="s">
        <v>272</v>
      </c>
      <c r="J16" s="331" t="s">
        <v>1054</v>
      </c>
    </row>
    <row r="17" spans="6:7">
      <c r="F17" s="326"/>
      <c r="G17" s="235">
        <f>SUM(G6:G16)</f>
        <v>5302.4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03E-8F94-4214-8D71-01AF7F7F73B2}">
  <sheetPr>
    <tabColor theme="0" tint="-4.9989318521683403E-2"/>
  </sheetPr>
  <dimension ref="C3:O22"/>
  <sheetViews>
    <sheetView showGridLines="0" zoomScale="85" zoomScaleNormal="85" workbookViewId="0">
      <selection activeCell="E33" sqref="E33"/>
    </sheetView>
  </sheetViews>
  <sheetFormatPr defaultColWidth="9" defaultRowHeight="16.5"/>
  <cols>
    <col min="1" max="2" width="2.125" style="324" customWidth="1"/>
    <col min="3" max="3" width="9.625" style="324" bestFit="1" customWidth="1"/>
    <col min="4" max="4" width="26.25" style="324" customWidth="1"/>
    <col min="5" max="5" width="31.875" style="324" bestFit="1" customWidth="1"/>
    <col min="6" max="6" width="10.875" style="324" bestFit="1" customWidth="1"/>
    <col min="7" max="16384" width="9" style="324"/>
  </cols>
  <sheetData>
    <row r="3" spans="3:15">
      <c r="C3" s="324" t="s">
        <v>1039</v>
      </c>
      <c r="J3" s="324" t="s">
        <v>1040</v>
      </c>
    </row>
    <row r="4" spans="3:15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  <c r="J4" s="335" t="s">
        <v>723</v>
      </c>
      <c r="K4" s="335" t="s">
        <v>724</v>
      </c>
      <c r="L4" s="335" t="s">
        <v>725</v>
      </c>
      <c r="M4" s="335" t="s">
        <v>726</v>
      </c>
      <c r="N4" s="335" t="s">
        <v>727</v>
      </c>
      <c r="O4" s="335" t="s">
        <v>728</v>
      </c>
    </row>
    <row r="5" spans="3:15">
      <c r="C5" s="336">
        <v>45252</v>
      </c>
      <c r="D5" s="335"/>
      <c r="E5" s="335" t="s">
        <v>729</v>
      </c>
      <c r="F5" s="335">
        <v>5</v>
      </c>
      <c r="G5" s="335">
        <f>F5*20</f>
        <v>100</v>
      </c>
      <c r="H5" s="335"/>
      <c r="J5" s="336">
        <v>45253</v>
      </c>
      <c r="K5" s="335"/>
      <c r="L5" s="335" t="s">
        <v>729</v>
      </c>
      <c r="M5" s="335">
        <v>4</v>
      </c>
      <c r="N5" s="335">
        <f>M5*20</f>
        <v>80</v>
      </c>
      <c r="O5" s="335"/>
    </row>
    <row r="6" spans="3:15">
      <c r="C6" s="336">
        <v>45253</v>
      </c>
      <c r="D6" s="335"/>
      <c r="E6" s="335" t="s">
        <v>729</v>
      </c>
      <c r="F6" s="335">
        <v>6.5</v>
      </c>
      <c r="G6" s="335">
        <f t="shared" ref="G6:G21" si="0">F6*20</f>
        <v>130</v>
      </c>
      <c r="H6" s="335"/>
      <c r="J6" s="336">
        <v>45254</v>
      </c>
      <c r="K6" s="335"/>
      <c r="L6" s="335" t="s">
        <v>729</v>
      </c>
      <c r="M6" s="335">
        <v>3</v>
      </c>
      <c r="N6" s="335">
        <f t="shared" ref="N6:N20" si="1">M6*20</f>
        <v>60</v>
      </c>
      <c r="O6" s="335"/>
    </row>
    <row r="7" spans="3:15">
      <c r="C7" s="336">
        <v>45254</v>
      </c>
      <c r="D7" s="335"/>
      <c r="E7" s="335" t="s">
        <v>729</v>
      </c>
      <c r="F7" s="335">
        <v>3.5</v>
      </c>
      <c r="G7" s="335">
        <f t="shared" si="0"/>
        <v>70</v>
      </c>
      <c r="H7" s="335"/>
      <c r="J7" s="336">
        <v>45257</v>
      </c>
      <c r="K7" s="335"/>
      <c r="L7" s="335" t="s">
        <v>729</v>
      </c>
      <c r="M7" s="335">
        <v>3</v>
      </c>
      <c r="N7" s="335">
        <f t="shared" si="1"/>
        <v>60</v>
      </c>
      <c r="O7" s="335"/>
    </row>
    <row r="8" spans="3:15">
      <c r="C8" s="336">
        <v>45257</v>
      </c>
      <c r="D8" s="335"/>
      <c r="E8" s="335" t="s">
        <v>729</v>
      </c>
      <c r="F8" s="335">
        <v>3.5</v>
      </c>
      <c r="G8" s="335">
        <f t="shared" si="0"/>
        <v>70</v>
      </c>
      <c r="H8" s="337"/>
      <c r="J8" s="336">
        <v>45258</v>
      </c>
      <c r="K8" s="335"/>
      <c r="L8" s="335" t="s">
        <v>729</v>
      </c>
      <c r="M8" s="335">
        <v>3</v>
      </c>
      <c r="N8" s="335">
        <f t="shared" si="1"/>
        <v>60</v>
      </c>
      <c r="O8" s="337"/>
    </row>
    <row r="9" spans="3:15">
      <c r="C9" s="336">
        <v>45259</v>
      </c>
      <c r="D9" s="335"/>
      <c r="E9" s="335" t="s">
        <v>729</v>
      </c>
      <c r="F9" s="335">
        <v>1.5</v>
      </c>
      <c r="G9" s="335">
        <f t="shared" si="0"/>
        <v>30</v>
      </c>
      <c r="H9" s="335"/>
      <c r="J9" s="336">
        <v>45259</v>
      </c>
      <c r="K9" s="335"/>
      <c r="L9" s="335" t="s">
        <v>729</v>
      </c>
      <c r="M9" s="335">
        <v>6</v>
      </c>
      <c r="N9" s="335">
        <f t="shared" si="1"/>
        <v>120</v>
      </c>
      <c r="O9" s="335"/>
    </row>
    <row r="10" spans="3:15">
      <c r="C10" s="336">
        <v>45265</v>
      </c>
      <c r="D10" s="335"/>
      <c r="E10" s="335" t="s">
        <v>729</v>
      </c>
      <c r="F10" s="335">
        <v>3.5</v>
      </c>
      <c r="G10" s="335">
        <f t="shared" si="0"/>
        <v>70</v>
      </c>
      <c r="H10" s="335"/>
      <c r="J10" s="336">
        <v>45261</v>
      </c>
      <c r="K10" s="335"/>
      <c r="L10" s="335" t="s">
        <v>729</v>
      </c>
      <c r="M10" s="335">
        <v>5</v>
      </c>
      <c r="N10" s="335">
        <f t="shared" si="1"/>
        <v>100</v>
      </c>
      <c r="O10" s="335"/>
    </row>
    <row r="11" spans="3:15">
      <c r="C11" s="336">
        <v>45267</v>
      </c>
      <c r="D11" s="335"/>
      <c r="E11" s="335" t="s">
        <v>729</v>
      </c>
      <c r="F11" s="335">
        <v>2.5</v>
      </c>
      <c r="G11" s="335">
        <f t="shared" si="0"/>
        <v>50</v>
      </c>
      <c r="H11" s="335"/>
      <c r="J11" s="336">
        <v>45266</v>
      </c>
      <c r="K11" s="335"/>
      <c r="L11" s="335" t="s">
        <v>729</v>
      </c>
      <c r="M11" s="335">
        <v>8</v>
      </c>
      <c r="N11" s="335">
        <f t="shared" si="1"/>
        <v>160</v>
      </c>
      <c r="O11" s="335"/>
    </row>
    <row r="12" spans="3:15">
      <c r="C12" s="336">
        <v>45268</v>
      </c>
      <c r="D12" s="335"/>
      <c r="E12" s="335" t="s">
        <v>729</v>
      </c>
      <c r="F12" s="335">
        <v>4.5</v>
      </c>
      <c r="G12" s="335">
        <f t="shared" si="0"/>
        <v>90</v>
      </c>
      <c r="H12" s="337"/>
      <c r="J12" s="336">
        <v>45267</v>
      </c>
      <c r="K12" s="335"/>
      <c r="L12" s="335" t="s">
        <v>729</v>
      </c>
      <c r="M12" s="335">
        <v>3</v>
      </c>
      <c r="N12" s="335">
        <f t="shared" si="1"/>
        <v>60</v>
      </c>
      <c r="O12" s="337"/>
    </row>
    <row r="13" spans="3:15">
      <c r="C13" s="336">
        <v>45269</v>
      </c>
      <c r="D13" s="335"/>
      <c r="E13" s="335" t="s">
        <v>729</v>
      </c>
      <c r="F13" s="335">
        <v>2</v>
      </c>
      <c r="G13" s="335">
        <f t="shared" si="0"/>
        <v>40</v>
      </c>
      <c r="H13" s="337"/>
      <c r="J13" s="336">
        <v>45269</v>
      </c>
      <c r="K13" s="335"/>
      <c r="L13" s="335" t="s">
        <v>729</v>
      </c>
      <c r="M13" s="335">
        <v>1</v>
      </c>
      <c r="N13" s="335">
        <f t="shared" si="1"/>
        <v>20</v>
      </c>
      <c r="O13" s="337"/>
    </row>
    <row r="14" spans="3:15">
      <c r="C14" s="336">
        <v>45271</v>
      </c>
      <c r="D14" s="335"/>
      <c r="E14" s="335" t="s">
        <v>729</v>
      </c>
      <c r="F14" s="335">
        <v>2.5</v>
      </c>
      <c r="G14" s="335">
        <f t="shared" si="0"/>
        <v>50</v>
      </c>
      <c r="H14" s="337"/>
      <c r="J14" s="336">
        <v>45272</v>
      </c>
      <c r="K14" s="335"/>
      <c r="L14" s="335" t="s">
        <v>729</v>
      </c>
      <c r="M14" s="335">
        <v>7</v>
      </c>
      <c r="N14" s="335">
        <f t="shared" si="1"/>
        <v>140</v>
      </c>
      <c r="O14" s="337"/>
    </row>
    <row r="15" spans="3:15">
      <c r="C15" s="336">
        <v>45272</v>
      </c>
      <c r="D15" s="335"/>
      <c r="E15" s="335" t="s">
        <v>729</v>
      </c>
      <c r="F15" s="335">
        <v>4.5</v>
      </c>
      <c r="G15" s="335">
        <f t="shared" si="0"/>
        <v>90</v>
      </c>
      <c r="H15" s="337"/>
      <c r="J15" s="336">
        <v>45273</v>
      </c>
      <c r="K15" s="335"/>
      <c r="L15" s="335" t="s">
        <v>729</v>
      </c>
      <c r="M15" s="335">
        <v>3</v>
      </c>
      <c r="N15" s="335">
        <f t="shared" si="1"/>
        <v>60</v>
      </c>
      <c r="O15" s="337"/>
    </row>
    <row r="16" spans="3:15">
      <c r="C16" s="336">
        <v>45273</v>
      </c>
      <c r="D16" s="335"/>
      <c r="E16" s="335" t="s">
        <v>729</v>
      </c>
      <c r="F16" s="335">
        <v>1.5</v>
      </c>
      <c r="G16" s="335">
        <f t="shared" si="0"/>
        <v>30</v>
      </c>
      <c r="H16" s="335"/>
      <c r="J16" s="336">
        <v>45274</v>
      </c>
      <c r="K16" s="335"/>
      <c r="L16" s="335" t="s">
        <v>729</v>
      </c>
      <c r="M16" s="335">
        <v>3</v>
      </c>
      <c r="N16" s="335">
        <f t="shared" si="1"/>
        <v>60</v>
      </c>
      <c r="O16" s="335"/>
    </row>
    <row r="17" spans="3:15">
      <c r="C17" s="336">
        <v>45275</v>
      </c>
      <c r="D17" s="335"/>
      <c r="E17" s="335" t="s">
        <v>729</v>
      </c>
      <c r="F17" s="335">
        <v>2</v>
      </c>
      <c r="G17" s="335">
        <f t="shared" si="0"/>
        <v>40</v>
      </c>
      <c r="H17" s="335"/>
      <c r="J17" s="336">
        <v>45279</v>
      </c>
      <c r="K17" s="335"/>
      <c r="L17" s="335" t="s">
        <v>729</v>
      </c>
      <c r="M17" s="335">
        <v>2</v>
      </c>
      <c r="N17" s="335">
        <f t="shared" si="1"/>
        <v>40</v>
      </c>
      <c r="O17" s="335"/>
    </row>
    <row r="18" spans="3:15">
      <c r="C18" s="336">
        <v>45276</v>
      </c>
      <c r="D18" s="335"/>
      <c r="E18" s="335" t="s">
        <v>729</v>
      </c>
      <c r="F18" s="335">
        <v>2</v>
      </c>
      <c r="G18" s="335">
        <f t="shared" si="0"/>
        <v>40</v>
      </c>
      <c r="H18" s="335"/>
      <c r="J18" s="336">
        <v>45281</v>
      </c>
      <c r="K18" s="335"/>
      <c r="L18" s="335" t="s">
        <v>729</v>
      </c>
      <c r="M18" s="335">
        <v>1</v>
      </c>
      <c r="N18" s="335">
        <f t="shared" si="1"/>
        <v>20</v>
      </c>
      <c r="O18" s="335"/>
    </row>
    <row r="19" spans="3:15">
      <c r="C19" s="336">
        <v>45277</v>
      </c>
      <c r="D19" s="335"/>
      <c r="E19" s="335" t="s">
        <v>729</v>
      </c>
      <c r="F19" s="335">
        <v>3</v>
      </c>
      <c r="G19" s="335">
        <f t="shared" si="0"/>
        <v>60</v>
      </c>
      <c r="H19" s="335"/>
      <c r="J19" s="336"/>
      <c r="K19" s="335"/>
      <c r="L19" s="335"/>
      <c r="M19" s="335"/>
      <c r="N19" s="335">
        <f t="shared" si="1"/>
        <v>0</v>
      </c>
      <c r="O19" s="335"/>
    </row>
    <row r="20" spans="3:15">
      <c r="C20" s="336">
        <v>45279</v>
      </c>
      <c r="D20" s="337"/>
      <c r="E20" s="335" t="s">
        <v>729</v>
      </c>
      <c r="F20" s="335">
        <v>3.5</v>
      </c>
      <c r="G20" s="335">
        <f t="shared" si="0"/>
        <v>70</v>
      </c>
      <c r="H20" s="337"/>
      <c r="J20" s="336"/>
      <c r="K20" s="337"/>
      <c r="L20" s="335"/>
      <c r="M20" s="335"/>
      <c r="N20" s="335">
        <f t="shared" si="1"/>
        <v>0</v>
      </c>
      <c r="O20" s="337"/>
    </row>
    <row r="21" spans="3:15">
      <c r="C21" s="516">
        <v>45280</v>
      </c>
      <c r="D21" s="337"/>
      <c r="E21" s="335" t="s">
        <v>729</v>
      </c>
      <c r="F21" s="335">
        <v>2</v>
      </c>
      <c r="G21" s="335">
        <f t="shared" si="0"/>
        <v>40</v>
      </c>
      <c r="H21" s="337"/>
      <c r="N21" s="324">
        <f>SUM(N5:N20)</f>
        <v>1040</v>
      </c>
    </row>
    <row r="22" spans="3:15">
      <c r="G22" s="517">
        <f>SUM(G5:G21)</f>
        <v>1070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CDB-3E3F-4361-BACC-569D8D4128B0}">
  <sheetPr>
    <tabColor rgb="FF92D050"/>
  </sheetPr>
  <dimension ref="C4:H21"/>
  <sheetViews>
    <sheetView showGridLines="0" zoomScale="85" zoomScaleNormal="85" workbookViewId="0">
      <selection activeCell="J26" sqref="J26"/>
    </sheetView>
  </sheetViews>
  <sheetFormatPr defaultColWidth="9" defaultRowHeight="16.5"/>
  <cols>
    <col min="1" max="2" width="2.125" style="324" customWidth="1"/>
    <col min="3" max="3" width="9" style="324"/>
    <col min="4" max="4" width="26.25" style="324" customWidth="1"/>
    <col min="5" max="5" width="31.875" style="324" bestFit="1" customWidth="1"/>
    <col min="6" max="6" width="10.875" style="324" bestFit="1" customWidth="1"/>
    <col min="7" max="16384" width="9" style="324"/>
  </cols>
  <sheetData>
    <row r="4" spans="3:8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</row>
    <row r="5" spans="3:8">
      <c r="C5" s="336">
        <v>45189</v>
      </c>
      <c r="D5" s="335"/>
      <c r="E5" s="335" t="s">
        <v>729</v>
      </c>
      <c r="F5" s="335">
        <v>1.5</v>
      </c>
      <c r="G5" s="335">
        <f>F5*20</f>
        <v>30</v>
      </c>
      <c r="H5" s="335"/>
    </row>
    <row r="6" spans="3:8">
      <c r="C6" s="336">
        <v>45190</v>
      </c>
      <c r="D6" s="335"/>
      <c r="E6" s="335" t="s">
        <v>729</v>
      </c>
      <c r="F6" s="335">
        <v>1.5</v>
      </c>
      <c r="G6" s="335">
        <f t="shared" ref="G6:G20" si="0">F6*20</f>
        <v>30</v>
      </c>
      <c r="H6" s="335"/>
    </row>
    <row r="7" spans="3:8">
      <c r="C7" s="336">
        <v>45192</v>
      </c>
      <c r="D7" s="335"/>
      <c r="E7" s="335" t="s">
        <v>729</v>
      </c>
      <c r="F7" s="335">
        <v>2</v>
      </c>
      <c r="G7" s="335">
        <f t="shared" si="0"/>
        <v>40</v>
      </c>
      <c r="H7" s="335"/>
    </row>
    <row r="8" spans="3:8">
      <c r="C8" s="336">
        <v>45193</v>
      </c>
      <c r="D8" s="335"/>
      <c r="E8" s="335" t="s">
        <v>729</v>
      </c>
      <c r="F8" s="335">
        <v>3</v>
      </c>
      <c r="G8" s="335">
        <f t="shared" si="0"/>
        <v>60</v>
      </c>
      <c r="H8" s="337"/>
    </row>
    <row r="9" spans="3:8">
      <c r="C9" s="336">
        <v>45194</v>
      </c>
      <c r="D9" s="335"/>
      <c r="E9" s="335" t="s">
        <v>729</v>
      </c>
      <c r="F9" s="335">
        <v>2</v>
      </c>
      <c r="G9" s="335">
        <f t="shared" si="0"/>
        <v>40</v>
      </c>
      <c r="H9" s="335"/>
    </row>
    <row r="10" spans="3:8">
      <c r="C10" s="336">
        <v>45197</v>
      </c>
      <c r="D10" s="335"/>
      <c r="E10" s="335" t="s">
        <v>729</v>
      </c>
      <c r="F10" s="335">
        <v>1.5</v>
      </c>
      <c r="G10" s="335">
        <f t="shared" si="0"/>
        <v>30</v>
      </c>
      <c r="H10" s="335"/>
    </row>
    <row r="11" spans="3:8">
      <c r="C11" s="336">
        <v>45208</v>
      </c>
      <c r="D11" s="335"/>
      <c r="E11" s="335" t="s">
        <v>729</v>
      </c>
      <c r="F11" s="335">
        <v>1.5</v>
      </c>
      <c r="G11" s="335">
        <f t="shared" si="0"/>
        <v>30</v>
      </c>
      <c r="H11" s="335"/>
    </row>
    <row r="12" spans="3:8">
      <c r="C12" s="336">
        <v>45209</v>
      </c>
      <c r="D12" s="335"/>
      <c r="E12" s="335" t="s">
        <v>729</v>
      </c>
      <c r="F12" s="335">
        <v>1.5</v>
      </c>
      <c r="G12" s="335">
        <f t="shared" si="0"/>
        <v>30</v>
      </c>
      <c r="H12" s="337"/>
    </row>
    <row r="13" spans="3:8">
      <c r="C13" s="336">
        <v>45210</v>
      </c>
      <c r="D13" s="335"/>
      <c r="E13" s="335" t="s">
        <v>729</v>
      </c>
      <c r="F13" s="335">
        <v>1.5</v>
      </c>
      <c r="G13" s="335">
        <f t="shared" si="0"/>
        <v>30</v>
      </c>
      <c r="H13" s="337"/>
    </row>
    <row r="14" spans="3:8">
      <c r="C14" s="336">
        <v>45211</v>
      </c>
      <c r="D14" s="335"/>
      <c r="E14" s="335" t="s">
        <v>729</v>
      </c>
      <c r="F14" s="335">
        <v>3</v>
      </c>
      <c r="G14" s="335">
        <f t="shared" si="0"/>
        <v>60</v>
      </c>
      <c r="H14" s="337"/>
    </row>
    <row r="15" spans="3:8">
      <c r="C15" s="336">
        <v>45214</v>
      </c>
      <c r="D15" s="335"/>
      <c r="E15" s="335" t="s">
        <v>729</v>
      </c>
      <c r="F15" s="335">
        <v>3.5</v>
      </c>
      <c r="G15" s="335">
        <f t="shared" si="0"/>
        <v>70</v>
      </c>
      <c r="H15" s="337"/>
    </row>
    <row r="16" spans="3:8">
      <c r="C16" s="336">
        <v>45215</v>
      </c>
      <c r="D16" s="335"/>
      <c r="E16" s="335" t="s">
        <v>729</v>
      </c>
      <c r="F16" s="335">
        <v>4</v>
      </c>
      <c r="G16" s="335">
        <f t="shared" si="0"/>
        <v>80</v>
      </c>
      <c r="H16" s="335"/>
    </row>
    <row r="17" spans="3:8">
      <c r="C17" s="336">
        <v>45216</v>
      </c>
      <c r="D17" s="335"/>
      <c r="E17" s="335" t="s">
        <v>729</v>
      </c>
      <c r="F17" s="335">
        <v>3</v>
      </c>
      <c r="G17" s="335">
        <f t="shared" si="0"/>
        <v>60</v>
      </c>
      <c r="H17" s="335"/>
    </row>
    <row r="18" spans="3:8">
      <c r="C18" s="336">
        <v>45217</v>
      </c>
      <c r="D18" s="335"/>
      <c r="E18" s="335" t="s">
        <v>729</v>
      </c>
      <c r="F18" s="335">
        <v>3</v>
      </c>
      <c r="G18" s="335">
        <f t="shared" si="0"/>
        <v>60</v>
      </c>
      <c r="H18" s="335"/>
    </row>
    <row r="19" spans="3:8">
      <c r="C19" s="336"/>
      <c r="D19" s="335"/>
      <c r="E19" s="335" t="s">
        <v>729</v>
      </c>
      <c r="F19" s="335"/>
      <c r="G19" s="335">
        <f t="shared" si="0"/>
        <v>0</v>
      </c>
      <c r="H19" s="335"/>
    </row>
    <row r="20" spans="3:8">
      <c r="C20" s="336"/>
      <c r="D20" s="337"/>
      <c r="E20" s="335" t="s">
        <v>729</v>
      </c>
      <c r="F20" s="335"/>
      <c r="G20" s="335">
        <f t="shared" si="0"/>
        <v>0</v>
      </c>
      <c r="H20" s="337"/>
    </row>
    <row r="21" spans="3:8">
      <c r="G21" s="324">
        <f>SUM(G5:G20)</f>
        <v>650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01D7-B548-4404-BC7C-7E6D790FB3C7}">
  <dimension ref="B2:J19"/>
  <sheetViews>
    <sheetView zoomScale="85" zoomScaleNormal="85" workbookViewId="0">
      <selection activeCell="J26" sqref="J26"/>
    </sheetView>
  </sheetViews>
  <sheetFormatPr defaultColWidth="9" defaultRowHeight="13.5"/>
  <cols>
    <col min="1" max="1" width="3.75" style="326" customWidth="1"/>
    <col min="2" max="2" width="5.75" style="334" customWidth="1"/>
    <col min="3" max="3" width="9" style="326"/>
    <col min="4" max="4" width="9.375" style="326" customWidth="1"/>
    <col min="5" max="5" width="23.125" style="326" customWidth="1"/>
    <col min="6" max="6" width="10.375" style="235" bestFit="1" customWidth="1"/>
    <col min="7" max="7" width="12.75" style="326" customWidth="1"/>
    <col min="8" max="8" width="46.625" style="326" bestFit="1" customWidth="1"/>
    <col min="9" max="9" width="19.125" style="326" customWidth="1"/>
    <col min="10" max="10" width="101.875" style="326" bestFit="1" customWidth="1"/>
    <col min="11" max="256" width="9" style="326"/>
    <col min="257" max="257" width="3.75" style="326" customWidth="1"/>
    <col min="258" max="512" width="9" style="326"/>
    <col min="513" max="513" width="3.75" style="326" customWidth="1"/>
    <col min="514" max="768" width="9" style="326"/>
    <col min="769" max="769" width="3.75" style="326" customWidth="1"/>
    <col min="770" max="1024" width="9" style="326"/>
    <col min="1025" max="1025" width="3.75" style="326" customWidth="1"/>
    <col min="1026" max="1280" width="9" style="326"/>
    <col min="1281" max="1281" width="3.75" style="326" customWidth="1"/>
    <col min="1282" max="1536" width="9" style="326"/>
    <col min="1537" max="1537" width="3.75" style="326" customWidth="1"/>
    <col min="1538" max="1792" width="9" style="326"/>
    <col min="1793" max="1793" width="3.75" style="326" customWidth="1"/>
    <col min="1794" max="2048" width="9" style="326"/>
    <col min="2049" max="2049" width="3.75" style="326" customWidth="1"/>
    <col min="2050" max="2304" width="9" style="326"/>
    <col min="2305" max="2305" width="3.75" style="326" customWidth="1"/>
    <col min="2306" max="2560" width="9" style="326"/>
    <col min="2561" max="2561" width="3.75" style="326" customWidth="1"/>
    <col min="2562" max="2816" width="9" style="326"/>
    <col min="2817" max="2817" width="3.75" style="326" customWidth="1"/>
    <col min="2818" max="3072" width="9" style="326"/>
    <col min="3073" max="3073" width="3.75" style="326" customWidth="1"/>
    <col min="3074" max="3328" width="9" style="326"/>
    <col min="3329" max="3329" width="3.75" style="326" customWidth="1"/>
    <col min="3330" max="3584" width="9" style="326"/>
    <col min="3585" max="3585" width="3.75" style="326" customWidth="1"/>
    <col min="3586" max="3840" width="9" style="326"/>
    <col min="3841" max="3841" width="3.75" style="326" customWidth="1"/>
    <col min="3842" max="4096" width="9" style="326"/>
    <col min="4097" max="4097" width="3.75" style="326" customWidth="1"/>
    <col min="4098" max="4352" width="9" style="326"/>
    <col min="4353" max="4353" width="3.75" style="326" customWidth="1"/>
    <col min="4354" max="4608" width="9" style="326"/>
    <col min="4609" max="4609" width="3.75" style="326" customWidth="1"/>
    <col min="4610" max="4864" width="9" style="326"/>
    <col min="4865" max="4865" width="3.75" style="326" customWidth="1"/>
    <col min="4866" max="5120" width="9" style="326"/>
    <col min="5121" max="5121" width="3.75" style="326" customWidth="1"/>
    <col min="5122" max="5376" width="9" style="326"/>
    <col min="5377" max="5377" width="3.75" style="326" customWidth="1"/>
    <col min="5378" max="5632" width="9" style="326"/>
    <col min="5633" max="5633" width="3.75" style="326" customWidth="1"/>
    <col min="5634" max="5888" width="9" style="326"/>
    <col min="5889" max="5889" width="3.75" style="326" customWidth="1"/>
    <col min="5890" max="6144" width="9" style="326"/>
    <col min="6145" max="6145" width="3.75" style="326" customWidth="1"/>
    <col min="6146" max="6400" width="9" style="326"/>
    <col min="6401" max="6401" width="3.75" style="326" customWidth="1"/>
    <col min="6402" max="6656" width="9" style="326"/>
    <col min="6657" max="6657" width="3.75" style="326" customWidth="1"/>
    <col min="6658" max="6912" width="9" style="326"/>
    <col min="6913" max="6913" width="3.75" style="326" customWidth="1"/>
    <col min="6914" max="7168" width="9" style="326"/>
    <col min="7169" max="7169" width="3.75" style="326" customWidth="1"/>
    <col min="7170" max="7424" width="9" style="326"/>
    <col min="7425" max="7425" width="3.75" style="326" customWidth="1"/>
    <col min="7426" max="7680" width="9" style="326"/>
    <col min="7681" max="7681" width="3.75" style="326" customWidth="1"/>
    <col min="7682" max="7936" width="9" style="326"/>
    <col min="7937" max="7937" width="3.75" style="326" customWidth="1"/>
    <col min="7938" max="8192" width="9" style="326"/>
    <col min="8193" max="8193" width="3.75" style="326" customWidth="1"/>
    <col min="8194" max="8448" width="9" style="326"/>
    <col min="8449" max="8449" width="3.75" style="326" customWidth="1"/>
    <col min="8450" max="8704" width="9" style="326"/>
    <col min="8705" max="8705" width="3.75" style="326" customWidth="1"/>
    <col min="8706" max="8960" width="9" style="326"/>
    <col min="8961" max="8961" width="3.75" style="326" customWidth="1"/>
    <col min="8962" max="9216" width="9" style="326"/>
    <col min="9217" max="9217" width="3.75" style="326" customWidth="1"/>
    <col min="9218" max="9472" width="9" style="326"/>
    <col min="9473" max="9473" width="3.75" style="326" customWidth="1"/>
    <col min="9474" max="9728" width="9" style="326"/>
    <col min="9729" max="9729" width="3.75" style="326" customWidth="1"/>
    <col min="9730" max="9984" width="9" style="326"/>
    <col min="9985" max="9985" width="3.75" style="326" customWidth="1"/>
    <col min="9986" max="10240" width="9" style="326"/>
    <col min="10241" max="10241" width="3.75" style="326" customWidth="1"/>
    <col min="10242" max="10496" width="9" style="326"/>
    <col min="10497" max="10497" width="3.75" style="326" customWidth="1"/>
    <col min="10498" max="10752" width="9" style="326"/>
    <col min="10753" max="10753" width="3.75" style="326" customWidth="1"/>
    <col min="10754" max="11008" width="9" style="326"/>
    <col min="11009" max="11009" width="3.75" style="326" customWidth="1"/>
    <col min="11010" max="11264" width="9" style="326"/>
    <col min="11265" max="11265" width="3.75" style="326" customWidth="1"/>
    <col min="11266" max="11520" width="9" style="326"/>
    <col min="11521" max="11521" width="3.75" style="326" customWidth="1"/>
    <col min="11522" max="11776" width="9" style="326"/>
    <col min="11777" max="11777" width="3.75" style="326" customWidth="1"/>
    <col min="11778" max="12032" width="9" style="326"/>
    <col min="12033" max="12033" width="3.75" style="326" customWidth="1"/>
    <col min="12034" max="12288" width="9" style="326"/>
    <col min="12289" max="12289" width="3.75" style="326" customWidth="1"/>
    <col min="12290" max="12544" width="9" style="326"/>
    <col min="12545" max="12545" width="3.75" style="326" customWidth="1"/>
    <col min="12546" max="12800" width="9" style="326"/>
    <col min="12801" max="12801" width="3.75" style="326" customWidth="1"/>
    <col min="12802" max="13056" width="9" style="326"/>
    <col min="13057" max="13057" width="3.75" style="326" customWidth="1"/>
    <col min="13058" max="13312" width="9" style="326"/>
    <col min="13313" max="13313" width="3.75" style="326" customWidth="1"/>
    <col min="13314" max="13568" width="9" style="326"/>
    <col min="13569" max="13569" width="3.75" style="326" customWidth="1"/>
    <col min="13570" max="13824" width="9" style="326"/>
    <col min="13825" max="13825" width="3.75" style="326" customWidth="1"/>
    <col min="13826" max="14080" width="9" style="326"/>
    <col min="14081" max="14081" width="3.75" style="326" customWidth="1"/>
    <col min="14082" max="14336" width="9" style="326"/>
    <col min="14337" max="14337" width="3.75" style="326" customWidth="1"/>
    <col min="14338" max="14592" width="9" style="326"/>
    <col min="14593" max="14593" width="3.75" style="326" customWidth="1"/>
    <col min="14594" max="14848" width="9" style="326"/>
    <col min="14849" max="14849" width="3.75" style="326" customWidth="1"/>
    <col min="14850" max="15104" width="9" style="326"/>
    <col min="15105" max="15105" width="3.75" style="326" customWidth="1"/>
    <col min="15106" max="15360" width="9" style="326"/>
    <col min="15361" max="15361" width="3.75" style="326" customWidth="1"/>
    <col min="15362" max="15616" width="9" style="326"/>
    <col min="15617" max="15617" width="3.75" style="326" customWidth="1"/>
    <col min="15618" max="15872" width="9" style="326"/>
    <col min="15873" max="15873" width="3.75" style="326" customWidth="1"/>
    <col min="15874" max="16128" width="9" style="326"/>
    <col min="16129" max="16129" width="3.75" style="326" customWidth="1"/>
    <col min="16130" max="16384" width="9" style="326"/>
  </cols>
  <sheetData>
    <row r="2" spans="2:10" ht="19.5">
      <c r="B2" s="325" t="s">
        <v>260</v>
      </c>
      <c r="F2" s="1513"/>
      <c r="G2" s="1513"/>
      <c r="H2" s="1513"/>
    </row>
    <row r="4" spans="2:10">
      <c r="B4" s="1512" t="s">
        <v>261</v>
      </c>
      <c r="C4" s="1512" t="s">
        <v>262</v>
      </c>
      <c r="D4" s="1514" t="s">
        <v>263</v>
      </c>
      <c r="E4" s="1514" t="s">
        <v>264</v>
      </c>
      <c r="F4" s="1512" t="s">
        <v>265</v>
      </c>
      <c r="G4" s="1512"/>
      <c r="H4" s="1512" t="s">
        <v>266</v>
      </c>
      <c r="I4" s="1512" t="s">
        <v>267</v>
      </c>
      <c r="J4" s="347"/>
    </row>
    <row r="5" spans="2:10">
      <c r="B5" s="1512"/>
      <c r="C5" s="1512"/>
      <c r="D5" s="1515"/>
      <c r="E5" s="1515"/>
      <c r="F5" s="236" t="s">
        <v>268</v>
      </c>
      <c r="G5" s="347" t="s">
        <v>743</v>
      </c>
      <c r="H5" s="1512"/>
      <c r="I5" s="1512"/>
      <c r="J5" s="347" t="s">
        <v>269</v>
      </c>
    </row>
    <row r="6" spans="2:10" ht="20.100000000000001" customHeight="1">
      <c r="B6" s="327">
        <v>1</v>
      </c>
      <c r="C6" s="328">
        <v>45220</v>
      </c>
      <c r="D6" s="328">
        <v>45212</v>
      </c>
      <c r="E6" s="329" t="s">
        <v>271</v>
      </c>
      <c r="F6" s="477">
        <v>140</v>
      </c>
      <c r="G6" s="350"/>
      <c r="H6" s="330" t="s">
        <v>964</v>
      </c>
      <c r="I6" s="330" t="s">
        <v>272</v>
      </c>
      <c r="J6" s="331" t="s">
        <v>965</v>
      </c>
    </row>
    <row r="7" spans="2:10" ht="20.100000000000001" customHeight="1">
      <c r="B7" s="327">
        <v>2</v>
      </c>
      <c r="C7" s="328">
        <v>45220</v>
      </c>
      <c r="D7" s="328">
        <v>45216</v>
      </c>
      <c r="E7" s="329" t="s">
        <v>966</v>
      </c>
      <c r="F7" s="478">
        <v>653</v>
      </c>
      <c r="G7" s="350"/>
      <c r="H7" s="330" t="s">
        <v>964</v>
      </c>
      <c r="I7" s="330" t="s">
        <v>272</v>
      </c>
      <c r="J7" s="331" t="s">
        <v>967</v>
      </c>
    </row>
    <row r="8" spans="2:10" ht="20.100000000000001" customHeight="1">
      <c r="B8" s="327">
        <v>3</v>
      </c>
      <c r="C8" s="328">
        <v>45220</v>
      </c>
      <c r="D8" s="328">
        <v>45217</v>
      </c>
      <c r="E8" s="329" t="s">
        <v>968</v>
      </c>
      <c r="F8" s="478">
        <v>584</v>
      </c>
      <c r="G8" s="350"/>
      <c r="H8" s="330" t="s">
        <v>915</v>
      </c>
      <c r="I8" s="330" t="s">
        <v>969</v>
      </c>
      <c r="J8" s="331" t="s">
        <v>970</v>
      </c>
    </row>
    <row r="9" spans="2:10" ht="20.100000000000001" customHeight="1">
      <c r="B9" s="327">
        <v>4</v>
      </c>
      <c r="C9" s="328">
        <v>45220</v>
      </c>
      <c r="D9" s="328">
        <v>45215</v>
      </c>
      <c r="E9" s="329" t="s">
        <v>971</v>
      </c>
      <c r="F9" s="477">
        <v>422</v>
      </c>
      <c r="G9" s="350"/>
      <c r="H9" s="330" t="s">
        <v>915</v>
      </c>
      <c r="I9" s="330" t="s">
        <v>768</v>
      </c>
      <c r="J9" s="331" t="s">
        <v>972</v>
      </c>
    </row>
    <row r="10" spans="2:10" ht="20.100000000000001" customHeight="1">
      <c r="B10" s="327">
        <v>5</v>
      </c>
      <c r="C10" s="328">
        <v>45220</v>
      </c>
      <c r="D10" s="332">
        <v>45216</v>
      </c>
      <c r="E10" s="329" t="s">
        <v>973</v>
      </c>
      <c r="F10" s="478">
        <v>108</v>
      </c>
      <c r="G10" s="350"/>
      <c r="H10" s="330" t="s">
        <v>915</v>
      </c>
      <c r="I10" s="330" t="s">
        <v>272</v>
      </c>
      <c r="J10" s="331" t="s">
        <v>974</v>
      </c>
    </row>
    <row r="11" spans="2:10" ht="20.100000000000001" customHeight="1">
      <c r="B11" s="327">
        <v>6</v>
      </c>
      <c r="C11" s="328">
        <v>45220</v>
      </c>
      <c r="D11" s="333">
        <v>45217</v>
      </c>
      <c r="E11" s="329" t="s">
        <v>975</v>
      </c>
      <c r="F11" s="478">
        <v>811</v>
      </c>
      <c r="G11" s="350"/>
      <c r="H11" s="330" t="s">
        <v>915</v>
      </c>
      <c r="I11" s="330" t="s">
        <v>272</v>
      </c>
      <c r="J11" s="331" t="s">
        <v>970</v>
      </c>
    </row>
    <row r="12" spans="2:10" ht="20.100000000000001" customHeight="1">
      <c r="B12" s="327">
        <v>7</v>
      </c>
      <c r="C12" s="328">
        <v>45220</v>
      </c>
      <c r="D12" s="333">
        <v>45195</v>
      </c>
      <c r="E12" s="329" t="s">
        <v>270</v>
      </c>
      <c r="F12" s="478">
        <v>1068</v>
      </c>
      <c r="G12" s="350"/>
      <c r="H12" s="330" t="s">
        <v>976</v>
      </c>
      <c r="I12" s="330" t="s">
        <v>729</v>
      </c>
      <c r="J12" s="331" t="s">
        <v>729</v>
      </c>
    </row>
    <row r="13" spans="2:10" ht="20.100000000000001" customHeight="1">
      <c r="B13" s="327">
        <v>8</v>
      </c>
      <c r="C13" s="328">
        <v>45220</v>
      </c>
      <c r="D13" s="333">
        <v>45216</v>
      </c>
      <c r="E13" s="329" t="s">
        <v>271</v>
      </c>
      <c r="F13" s="478">
        <v>446</v>
      </c>
      <c r="G13" s="350"/>
      <c r="H13" s="330" t="s">
        <v>916</v>
      </c>
      <c r="I13" s="330" t="s">
        <v>272</v>
      </c>
      <c r="J13" s="331" t="s">
        <v>977</v>
      </c>
    </row>
    <row r="14" spans="2:10">
      <c r="B14" s="327">
        <v>9</v>
      </c>
      <c r="C14" s="328">
        <v>45220</v>
      </c>
      <c r="D14" s="333">
        <v>45206</v>
      </c>
      <c r="E14" s="329" t="s">
        <v>271</v>
      </c>
      <c r="F14" s="478">
        <v>767</v>
      </c>
      <c r="G14" s="350"/>
      <c r="H14" s="330" t="s">
        <v>916</v>
      </c>
      <c r="I14" s="330" t="s">
        <v>272</v>
      </c>
      <c r="J14" s="331" t="s">
        <v>978</v>
      </c>
    </row>
    <row r="15" spans="2:10">
      <c r="B15" s="327">
        <v>10</v>
      </c>
      <c r="C15" s="328">
        <v>45220</v>
      </c>
      <c r="D15" s="333">
        <v>45215</v>
      </c>
      <c r="E15" s="329" t="s">
        <v>271</v>
      </c>
      <c r="F15" s="478">
        <v>512</v>
      </c>
      <c r="G15" s="350"/>
      <c r="H15" s="330" t="s">
        <v>916</v>
      </c>
      <c r="I15" s="330" t="s">
        <v>272</v>
      </c>
      <c r="J15" s="331" t="s">
        <v>979</v>
      </c>
    </row>
    <row r="16" spans="2:10">
      <c r="B16" s="327">
        <v>11</v>
      </c>
      <c r="C16" s="328">
        <v>45220</v>
      </c>
      <c r="D16" s="333">
        <v>45216</v>
      </c>
      <c r="E16" s="329" t="s">
        <v>271</v>
      </c>
      <c r="F16" s="478">
        <v>585.63</v>
      </c>
      <c r="G16" s="350"/>
      <c r="H16" s="330" t="s">
        <v>916</v>
      </c>
      <c r="I16" s="330" t="s">
        <v>272</v>
      </c>
      <c r="J16" s="331" t="s">
        <v>980</v>
      </c>
    </row>
    <row r="17" spans="2:10">
      <c r="B17" s="327">
        <v>12</v>
      </c>
      <c r="C17" s="328">
        <v>45220</v>
      </c>
      <c r="D17" s="333">
        <v>45217</v>
      </c>
      <c r="E17" s="329" t="s">
        <v>271</v>
      </c>
      <c r="F17" s="478">
        <v>178.1</v>
      </c>
      <c r="G17" s="350"/>
      <c r="H17" s="330" t="s">
        <v>916</v>
      </c>
      <c r="I17" s="330" t="s">
        <v>272</v>
      </c>
      <c r="J17" s="331" t="s">
        <v>981</v>
      </c>
    </row>
    <row r="18" spans="2:10">
      <c r="B18" s="327">
        <v>13</v>
      </c>
      <c r="C18" s="328">
        <v>45220</v>
      </c>
      <c r="D18" s="333">
        <v>45217</v>
      </c>
      <c r="E18" s="329" t="s">
        <v>271</v>
      </c>
      <c r="F18" s="478">
        <v>416</v>
      </c>
      <c r="G18" s="350"/>
      <c r="H18" s="330" t="s">
        <v>916</v>
      </c>
      <c r="I18" s="330" t="s">
        <v>272</v>
      </c>
      <c r="J18" s="331" t="s">
        <v>982</v>
      </c>
    </row>
    <row r="19" spans="2:10">
      <c r="F19" s="235">
        <f>SUM(F6:F18)</f>
        <v>6690.7300000000005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17CC-E89B-43AE-9649-391EAB7925F4}">
  <dimension ref="B2:J19"/>
  <sheetViews>
    <sheetView workbookViewId="0">
      <selection activeCell="F32" sqref="F32"/>
    </sheetView>
  </sheetViews>
  <sheetFormatPr defaultColWidth="9" defaultRowHeight="13.5"/>
  <cols>
    <col min="1" max="1" width="3.75" style="5" customWidth="1"/>
    <col min="2" max="2" width="5.75" style="407" customWidth="1"/>
    <col min="3" max="3" width="9" style="5"/>
    <col min="4" max="4" width="9.375" style="5" customWidth="1"/>
    <col min="5" max="5" width="23.125" style="5" customWidth="1"/>
    <col min="6" max="6" width="10.375" style="235" bestFit="1" customWidth="1"/>
    <col min="7" max="7" width="12.75" style="5" customWidth="1"/>
    <col min="8" max="8" width="46.875" style="5" bestFit="1" customWidth="1"/>
    <col min="9" max="9" width="19.125" style="5" customWidth="1"/>
    <col min="10" max="10" width="101.875" style="5" bestFit="1" customWidth="1"/>
    <col min="11" max="256" width="9" style="5"/>
    <col min="257" max="257" width="3.75" style="5" customWidth="1"/>
    <col min="258" max="512" width="9" style="5"/>
    <col min="513" max="513" width="3.75" style="5" customWidth="1"/>
    <col min="514" max="768" width="9" style="5"/>
    <col min="769" max="769" width="3.75" style="5" customWidth="1"/>
    <col min="770" max="1024" width="9" style="5"/>
    <col min="1025" max="1025" width="3.75" style="5" customWidth="1"/>
    <col min="1026" max="1280" width="9" style="5"/>
    <col min="1281" max="1281" width="3.75" style="5" customWidth="1"/>
    <col min="1282" max="1536" width="9" style="5"/>
    <col min="1537" max="1537" width="3.75" style="5" customWidth="1"/>
    <col min="1538" max="1792" width="9" style="5"/>
    <col min="1793" max="1793" width="3.75" style="5" customWidth="1"/>
    <col min="1794" max="2048" width="9" style="5"/>
    <col min="2049" max="2049" width="3.75" style="5" customWidth="1"/>
    <col min="2050" max="2304" width="9" style="5"/>
    <col min="2305" max="2305" width="3.75" style="5" customWidth="1"/>
    <col min="2306" max="2560" width="9" style="5"/>
    <col min="2561" max="2561" width="3.75" style="5" customWidth="1"/>
    <col min="2562" max="2816" width="9" style="5"/>
    <col min="2817" max="2817" width="3.75" style="5" customWidth="1"/>
    <col min="2818" max="3072" width="9" style="5"/>
    <col min="3073" max="3073" width="3.75" style="5" customWidth="1"/>
    <col min="3074" max="3328" width="9" style="5"/>
    <col min="3329" max="3329" width="3.75" style="5" customWidth="1"/>
    <col min="3330" max="3584" width="9" style="5"/>
    <col min="3585" max="3585" width="3.75" style="5" customWidth="1"/>
    <col min="3586" max="3840" width="9" style="5"/>
    <col min="3841" max="3841" width="3.75" style="5" customWidth="1"/>
    <col min="3842" max="4096" width="9" style="5"/>
    <col min="4097" max="4097" width="3.75" style="5" customWidth="1"/>
    <col min="4098" max="4352" width="9" style="5"/>
    <col min="4353" max="4353" width="3.75" style="5" customWidth="1"/>
    <col min="4354" max="4608" width="9" style="5"/>
    <col min="4609" max="4609" width="3.75" style="5" customWidth="1"/>
    <col min="4610" max="4864" width="9" style="5"/>
    <col min="4865" max="4865" width="3.75" style="5" customWidth="1"/>
    <col min="4866" max="5120" width="9" style="5"/>
    <col min="5121" max="5121" width="3.75" style="5" customWidth="1"/>
    <col min="5122" max="5376" width="9" style="5"/>
    <col min="5377" max="5377" width="3.75" style="5" customWidth="1"/>
    <col min="5378" max="5632" width="9" style="5"/>
    <col min="5633" max="5633" width="3.75" style="5" customWidth="1"/>
    <col min="5634" max="5888" width="9" style="5"/>
    <col min="5889" max="5889" width="3.75" style="5" customWidth="1"/>
    <col min="5890" max="6144" width="9" style="5"/>
    <col min="6145" max="6145" width="3.75" style="5" customWidth="1"/>
    <col min="6146" max="6400" width="9" style="5"/>
    <col min="6401" max="6401" width="3.75" style="5" customWidth="1"/>
    <col min="6402" max="6656" width="9" style="5"/>
    <col min="6657" max="6657" width="3.75" style="5" customWidth="1"/>
    <col min="6658" max="6912" width="9" style="5"/>
    <col min="6913" max="6913" width="3.75" style="5" customWidth="1"/>
    <col min="6914" max="7168" width="9" style="5"/>
    <col min="7169" max="7169" width="3.75" style="5" customWidth="1"/>
    <col min="7170" max="7424" width="9" style="5"/>
    <col min="7425" max="7425" width="3.75" style="5" customWidth="1"/>
    <col min="7426" max="7680" width="9" style="5"/>
    <col min="7681" max="7681" width="3.75" style="5" customWidth="1"/>
    <col min="7682" max="7936" width="9" style="5"/>
    <col min="7937" max="7937" width="3.75" style="5" customWidth="1"/>
    <col min="7938" max="8192" width="9" style="5"/>
    <col min="8193" max="8193" width="3.75" style="5" customWidth="1"/>
    <col min="8194" max="8448" width="9" style="5"/>
    <col min="8449" max="8449" width="3.75" style="5" customWidth="1"/>
    <col min="8450" max="8704" width="9" style="5"/>
    <col min="8705" max="8705" width="3.75" style="5" customWidth="1"/>
    <col min="8706" max="8960" width="9" style="5"/>
    <col min="8961" max="8961" width="3.75" style="5" customWidth="1"/>
    <col min="8962" max="9216" width="9" style="5"/>
    <col min="9217" max="9217" width="3.75" style="5" customWidth="1"/>
    <col min="9218" max="9472" width="9" style="5"/>
    <col min="9473" max="9473" width="3.75" style="5" customWidth="1"/>
    <col min="9474" max="9728" width="9" style="5"/>
    <col min="9729" max="9729" width="3.75" style="5" customWidth="1"/>
    <col min="9730" max="9984" width="9" style="5"/>
    <col min="9985" max="9985" width="3.75" style="5" customWidth="1"/>
    <col min="9986" max="10240" width="9" style="5"/>
    <col min="10241" max="10241" width="3.75" style="5" customWidth="1"/>
    <col min="10242" max="10496" width="9" style="5"/>
    <col min="10497" max="10497" width="3.75" style="5" customWidth="1"/>
    <col min="10498" max="10752" width="9" style="5"/>
    <col min="10753" max="10753" width="3.75" style="5" customWidth="1"/>
    <col min="10754" max="11008" width="9" style="5"/>
    <col min="11009" max="11009" width="3.75" style="5" customWidth="1"/>
    <col min="11010" max="11264" width="9" style="5"/>
    <col min="11265" max="11265" width="3.75" style="5" customWidth="1"/>
    <col min="11266" max="11520" width="9" style="5"/>
    <col min="11521" max="11521" width="3.75" style="5" customWidth="1"/>
    <col min="11522" max="11776" width="9" style="5"/>
    <col min="11777" max="11777" width="3.75" style="5" customWidth="1"/>
    <col min="11778" max="12032" width="9" style="5"/>
    <col min="12033" max="12033" width="3.75" style="5" customWidth="1"/>
    <col min="12034" max="12288" width="9" style="5"/>
    <col min="12289" max="12289" width="3.75" style="5" customWidth="1"/>
    <col min="12290" max="12544" width="9" style="5"/>
    <col min="12545" max="12545" width="3.75" style="5" customWidth="1"/>
    <col min="12546" max="12800" width="9" style="5"/>
    <col min="12801" max="12801" width="3.75" style="5" customWidth="1"/>
    <col min="12802" max="13056" width="9" style="5"/>
    <col min="13057" max="13057" width="3.75" style="5" customWidth="1"/>
    <col min="13058" max="13312" width="9" style="5"/>
    <col min="13313" max="13313" width="3.75" style="5" customWidth="1"/>
    <col min="13314" max="13568" width="9" style="5"/>
    <col min="13569" max="13569" width="3.75" style="5" customWidth="1"/>
    <col min="13570" max="13824" width="9" style="5"/>
    <col min="13825" max="13825" width="3.75" style="5" customWidth="1"/>
    <col min="13826" max="14080" width="9" style="5"/>
    <col min="14081" max="14081" width="3.75" style="5" customWidth="1"/>
    <col min="14082" max="14336" width="9" style="5"/>
    <col min="14337" max="14337" width="3.75" style="5" customWidth="1"/>
    <col min="14338" max="14592" width="9" style="5"/>
    <col min="14593" max="14593" width="3.75" style="5" customWidth="1"/>
    <col min="14594" max="14848" width="9" style="5"/>
    <col min="14849" max="14849" width="3.75" style="5" customWidth="1"/>
    <col min="14850" max="15104" width="9" style="5"/>
    <col min="15105" max="15105" width="3.75" style="5" customWidth="1"/>
    <col min="15106" max="15360" width="9" style="5"/>
    <col min="15361" max="15361" width="3.75" style="5" customWidth="1"/>
    <col min="15362" max="15616" width="9" style="5"/>
    <col min="15617" max="15617" width="3.75" style="5" customWidth="1"/>
    <col min="15618" max="15872" width="9" style="5"/>
    <col min="15873" max="15873" width="3.75" style="5" customWidth="1"/>
    <col min="15874" max="16128" width="9" style="5"/>
    <col min="16129" max="16129" width="3.75" style="5" customWidth="1"/>
    <col min="16130" max="16384" width="9" style="5"/>
  </cols>
  <sheetData>
    <row r="2" spans="2:10" ht="19.5">
      <c r="B2" s="406" t="s">
        <v>260</v>
      </c>
      <c r="F2" s="1513"/>
      <c r="G2" s="1513"/>
      <c r="H2" s="1513"/>
    </row>
    <row r="4" spans="2:10">
      <c r="B4" s="1548" t="s">
        <v>261</v>
      </c>
      <c r="C4" s="1548" t="s">
        <v>262</v>
      </c>
      <c r="D4" s="1548" t="s">
        <v>263</v>
      </c>
      <c r="E4" s="1548" t="s">
        <v>264</v>
      </c>
      <c r="F4" s="1548" t="s">
        <v>265</v>
      </c>
      <c r="G4" s="1548"/>
      <c r="H4" s="1548" t="s">
        <v>266</v>
      </c>
      <c r="I4" s="1548" t="s">
        <v>267</v>
      </c>
      <c r="J4" s="426"/>
    </row>
    <row r="5" spans="2:10">
      <c r="B5" s="1548"/>
      <c r="C5" s="1548"/>
      <c r="D5" s="1548"/>
      <c r="E5" s="1548"/>
      <c r="F5" s="236" t="s">
        <v>268</v>
      </c>
      <c r="G5" s="426" t="s">
        <v>743</v>
      </c>
      <c r="H5" s="1548"/>
      <c r="I5" s="1548"/>
      <c r="J5" s="426" t="s">
        <v>269</v>
      </c>
    </row>
    <row r="6" spans="2:10" ht="20.100000000000001" customHeight="1">
      <c r="B6" s="441">
        <v>1</v>
      </c>
      <c r="C6" s="442">
        <v>45190</v>
      </c>
      <c r="D6" s="442">
        <v>45187</v>
      </c>
      <c r="E6" s="405" t="s">
        <v>270</v>
      </c>
      <c r="F6" s="443">
        <v>236</v>
      </c>
      <c r="G6" s="444">
        <f>F6*1333.4</f>
        <v>314682.40000000002</v>
      </c>
      <c r="H6" s="405" t="s">
        <v>914</v>
      </c>
      <c r="I6" s="405" t="s">
        <v>918</v>
      </c>
      <c r="J6" s="115" t="s">
        <v>812</v>
      </c>
    </row>
    <row r="7" spans="2:10" ht="20.100000000000001" customHeight="1">
      <c r="B7" s="441">
        <v>2</v>
      </c>
      <c r="C7" s="442">
        <v>45190</v>
      </c>
      <c r="D7" s="442">
        <v>45184</v>
      </c>
      <c r="E7" s="405" t="s">
        <v>833</v>
      </c>
      <c r="F7" s="443">
        <v>82</v>
      </c>
      <c r="G7" s="444">
        <f t="shared" ref="G7:G18" si="0">F7*1333.4</f>
        <v>109338.8</v>
      </c>
      <c r="H7" s="405" t="s">
        <v>914</v>
      </c>
      <c r="I7" s="405" t="s">
        <v>750</v>
      </c>
      <c r="J7" s="115" t="s">
        <v>812</v>
      </c>
    </row>
    <row r="8" spans="2:10" ht="20.100000000000001" customHeight="1">
      <c r="B8" s="441">
        <v>3</v>
      </c>
      <c r="C8" s="442">
        <v>45190</v>
      </c>
      <c r="D8" s="442">
        <v>45180</v>
      </c>
      <c r="E8" s="405" t="s">
        <v>911</v>
      </c>
      <c r="F8" s="443">
        <v>2340</v>
      </c>
      <c r="G8" s="444">
        <f t="shared" si="0"/>
        <v>3120156</v>
      </c>
      <c r="H8" s="405" t="s">
        <v>915</v>
      </c>
      <c r="I8" s="405" t="s">
        <v>272</v>
      </c>
      <c r="J8" s="115" t="s">
        <v>919</v>
      </c>
    </row>
    <row r="9" spans="2:10" ht="20.100000000000001" customHeight="1">
      <c r="B9" s="441">
        <v>4</v>
      </c>
      <c r="C9" s="442">
        <v>45190</v>
      </c>
      <c r="D9" s="442">
        <v>45166</v>
      </c>
      <c r="E9" s="405" t="s">
        <v>270</v>
      </c>
      <c r="F9" s="443">
        <v>839</v>
      </c>
      <c r="G9" s="444">
        <f t="shared" si="0"/>
        <v>1118722.6000000001</v>
      </c>
      <c r="H9" s="405" t="s">
        <v>915</v>
      </c>
      <c r="I9" s="405" t="s">
        <v>754</v>
      </c>
      <c r="J9" s="115" t="s">
        <v>920</v>
      </c>
    </row>
    <row r="10" spans="2:10" ht="20.100000000000001" customHeight="1">
      <c r="B10" s="441">
        <v>5</v>
      </c>
      <c r="C10" s="442">
        <v>45190</v>
      </c>
      <c r="D10" s="442">
        <v>45176</v>
      </c>
      <c r="E10" s="405" t="s">
        <v>270</v>
      </c>
      <c r="F10" s="443">
        <v>784</v>
      </c>
      <c r="G10" s="444">
        <f t="shared" si="0"/>
        <v>1045385.6000000001</v>
      </c>
      <c r="H10" s="405" t="s">
        <v>914</v>
      </c>
      <c r="I10" s="405" t="s">
        <v>750</v>
      </c>
      <c r="J10" s="115" t="s">
        <v>921</v>
      </c>
    </row>
    <row r="11" spans="2:10" ht="20.100000000000001" customHeight="1">
      <c r="B11" s="441">
        <v>6</v>
      </c>
      <c r="C11" s="442">
        <v>45190</v>
      </c>
      <c r="D11" s="442">
        <v>45170</v>
      </c>
      <c r="E11" s="405" t="s">
        <v>912</v>
      </c>
      <c r="F11" s="443">
        <v>39.270000000000003</v>
      </c>
      <c r="G11" s="444">
        <f t="shared" si="0"/>
        <v>52362.618000000009</v>
      </c>
      <c r="H11" s="405" t="s">
        <v>916</v>
      </c>
      <c r="I11" s="405" t="s">
        <v>272</v>
      </c>
      <c r="J11" s="115" t="s">
        <v>922</v>
      </c>
    </row>
    <row r="12" spans="2:10" ht="20.100000000000001" customHeight="1">
      <c r="B12" s="441">
        <v>7</v>
      </c>
      <c r="C12" s="442">
        <v>45190</v>
      </c>
      <c r="D12" s="442">
        <v>45182</v>
      </c>
      <c r="E12" s="405" t="s">
        <v>270</v>
      </c>
      <c r="F12" s="443">
        <v>255</v>
      </c>
      <c r="G12" s="444">
        <f t="shared" si="0"/>
        <v>340017</v>
      </c>
      <c r="H12" s="405" t="s">
        <v>916</v>
      </c>
      <c r="I12" s="405" t="s">
        <v>272</v>
      </c>
      <c r="J12" s="115" t="s">
        <v>923</v>
      </c>
    </row>
    <row r="13" spans="2:10" ht="20.100000000000001" customHeight="1">
      <c r="B13" s="441">
        <v>8</v>
      </c>
      <c r="C13" s="442">
        <v>45190</v>
      </c>
      <c r="D13" s="442">
        <v>45159</v>
      </c>
      <c r="E13" s="405" t="s">
        <v>271</v>
      </c>
      <c r="F13" s="443">
        <v>757</v>
      </c>
      <c r="G13" s="444">
        <f t="shared" si="0"/>
        <v>1009383.8</v>
      </c>
      <c r="H13" s="405" t="s">
        <v>916</v>
      </c>
      <c r="I13" s="405" t="s">
        <v>272</v>
      </c>
      <c r="J13" s="115" t="s">
        <v>924</v>
      </c>
    </row>
    <row r="14" spans="2:10">
      <c r="B14" s="441">
        <v>9</v>
      </c>
      <c r="C14" s="442">
        <v>45190</v>
      </c>
      <c r="D14" s="442">
        <v>45163</v>
      </c>
      <c r="E14" s="405" t="s">
        <v>833</v>
      </c>
      <c r="F14" s="443">
        <v>163</v>
      </c>
      <c r="G14" s="444">
        <f t="shared" si="0"/>
        <v>217344.2</v>
      </c>
      <c r="H14" s="405" t="s">
        <v>916</v>
      </c>
      <c r="I14" s="405" t="s">
        <v>272</v>
      </c>
      <c r="J14" s="115" t="s">
        <v>925</v>
      </c>
    </row>
    <row r="15" spans="2:10">
      <c r="B15" s="441">
        <v>10</v>
      </c>
      <c r="C15" s="442">
        <v>45190</v>
      </c>
      <c r="D15" s="442">
        <v>45189</v>
      </c>
      <c r="E15" s="405" t="s">
        <v>833</v>
      </c>
      <c r="F15" s="443">
        <v>208</v>
      </c>
      <c r="G15" s="444">
        <f t="shared" si="0"/>
        <v>277347.20000000001</v>
      </c>
      <c r="H15" s="405" t="s">
        <v>917</v>
      </c>
      <c r="I15" s="405" t="s">
        <v>926</v>
      </c>
      <c r="J15" s="115" t="s">
        <v>927</v>
      </c>
    </row>
    <row r="16" spans="2:10">
      <c r="B16" s="441">
        <v>11</v>
      </c>
      <c r="C16" s="442">
        <v>45190</v>
      </c>
      <c r="D16" s="442">
        <v>45178</v>
      </c>
      <c r="E16" s="405" t="s">
        <v>271</v>
      </c>
      <c r="F16" s="443">
        <v>498</v>
      </c>
      <c r="G16" s="444">
        <f t="shared" si="0"/>
        <v>664033.20000000007</v>
      </c>
      <c r="H16" s="405" t="s">
        <v>916</v>
      </c>
      <c r="I16" s="405" t="s">
        <v>272</v>
      </c>
      <c r="J16" s="115" t="s">
        <v>928</v>
      </c>
    </row>
    <row r="17" spans="2:10">
      <c r="B17" s="441">
        <v>12</v>
      </c>
      <c r="C17" s="442">
        <v>45190</v>
      </c>
      <c r="D17" s="442">
        <v>45179</v>
      </c>
      <c r="E17" s="405" t="s">
        <v>271</v>
      </c>
      <c r="F17" s="443">
        <v>532</v>
      </c>
      <c r="G17" s="444">
        <f t="shared" si="0"/>
        <v>709368.8</v>
      </c>
      <c r="H17" s="405" t="s">
        <v>916</v>
      </c>
      <c r="I17" s="405" t="s">
        <v>272</v>
      </c>
      <c r="J17" s="115" t="s">
        <v>929</v>
      </c>
    </row>
    <row r="18" spans="2:10">
      <c r="B18" s="441">
        <v>13</v>
      </c>
      <c r="C18" s="442">
        <v>45190</v>
      </c>
      <c r="D18" s="442">
        <v>45190</v>
      </c>
      <c r="E18" s="405" t="s">
        <v>913</v>
      </c>
      <c r="F18" s="443">
        <v>7438.5</v>
      </c>
      <c r="G18" s="444">
        <f t="shared" si="0"/>
        <v>9918495.9000000004</v>
      </c>
      <c r="H18" s="405" t="s">
        <v>916</v>
      </c>
      <c r="I18" s="405" t="s">
        <v>930</v>
      </c>
      <c r="J18" s="115" t="s">
        <v>931</v>
      </c>
    </row>
    <row r="19" spans="2:10">
      <c r="F19" s="235">
        <f>SUM(F6:F18)</f>
        <v>14171.77</v>
      </c>
      <c r="G19" s="445">
        <f>SUM(G6:G18)</f>
        <v>18896638.118000001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7"/>
  <sheetViews>
    <sheetView topLeftCell="A19" workbookViewId="0">
      <selection activeCell="D51" sqref="D51"/>
    </sheetView>
  </sheetViews>
  <sheetFormatPr defaultRowHeight="16.5" outlineLevelCol="1"/>
  <cols>
    <col min="2" max="2" width="30.5" bestFit="1" customWidth="1"/>
    <col min="3" max="3" width="21.125" customWidth="1" outlineLevel="1"/>
  </cols>
  <sheetData>
    <row r="1" spans="1:12">
      <c r="A1" s="1482" t="s">
        <v>149</v>
      </c>
      <c r="B1" s="1484" t="s">
        <v>150</v>
      </c>
      <c r="C1" s="1484" t="s">
        <v>151</v>
      </c>
      <c r="D1" s="1484" t="s">
        <v>152</v>
      </c>
      <c r="E1" s="199"/>
      <c r="F1" s="1486" t="s">
        <v>153</v>
      </c>
      <c r="G1" s="1474" t="s">
        <v>154</v>
      </c>
      <c r="H1" s="1488"/>
      <c r="I1" s="1474" t="s">
        <v>155</v>
      </c>
      <c r="J1" s="1475"/>
      <c r="K1" s="201"/>
    </row>
    <row r="2" spans="1:12">
      <c r="A2" s="1483"/>
      <c r="B2" s="1551"/>
      <c r="C2" s="1485"/>
      <c r="D2" s="1485"/>
      <c r="E2" s="200"/>
      <c r="F2" s="1487"/>
      <c r="G2" s="30" t="s">
        <v>156</v>
      </c>
      <c r="H2" s="74" t="s">
        <v>157</v>
      </c>
      <c r="I2" s="32" t="s">
        <v>156</v>
      </c>
      <c r="J2" s="32" t="s">
        <v>157</v>
      </c>
      <c r="K2" s="210"/>
    </row>
    <row r="3" spans="1:12">
      <c r="A3" s="36">
        <v>44630</v>
      </c>
      <c r="B3" s="34" t="s">
        <v>158</v>
      </c>
      <c r="C3" s="35"/>
      <c r="D3" s="33" t="s">
        <v>159</v>
      </c>
      <c r="E3" s="33"/>
      <c r="F3" s="35"/>
      <c r="G3" s="39"/>
      <c r="H3" s="75">
        <v>7.0000000000000007E-2</v>
      </c>
      <c r="I3" s="85"/>
      <c r="J3" s="86"/>
      <c r="K3" s="211"/>
    </row>
    <row r="4" spans="1:12">
      <c r="A4" s="40">
        <v>44631</v>
      </c>
      <c r="B4" s="51" t="s">
        <v>160</v>
      </c>
      <c r="C4" s="42" t="s">
        <v>51</v>
      </c>
      <c r="D4" s="41"/>
      <c r="E4" s="41"/>
      <c r="F4" s="43"/>
      <c r="G4" s="44">
        <v>62479.23</v>
      </c>
      <c r="H4" s="76">
        <v>9850.6200000000008</v>
      </c>
      <c r="I4" s="87"/>
      <c r="J4" s="88"/>
      <c r="K4" s="212"/>
    </row>
    <row r="5" spans="1:12">
      <c r="A5" s="40">
        <v>44635</v>
      </c>
      <c r="B5" s="51" t="s">
        <v>161</v>
      </c>
      <c r="C5" s="42" t="s">
        <v>51</v>
      </c>
      <c r="D5" s="41" t="s">
        <v>162</v>
      </c>
      <c r="E5" s="41"/>
      <c r="F5" s="43"/>
      <c r="G5" s="53"/>
      <c r="H5" s="76"/>
      <c r="I5" s="87"/>
      <c r="J5" s="88">
        <v>30</v>
      </c>
      <c r="K5" s="212">
        <v>1234.5</v>
      </c>
    </row>
    <row r="6" spans="1:12">
      <c r="A6" s="36">
        <v>44635</v>
      </c>
      <c r="B6" s="34" t="s">
        <v>163</v>
      </c>
      <c r="C6" s="33" t="s">
        <v>164</v>
      </c>
      <c r="D6" s="33" t="s">
        <v>165</v>
      </c>
      <c r="E6" s="33" t="s">
        <v>179</v>
      </c>
      <c r="F6" s="35"/>
      <c r="G6" s="39"/>
      <c r="H6" s="75"/>
      <c r="I6" s="85">
        <v>5000</v>
      </c>
      <c r="J6" s="86">
        <f>I6/'통장내역(환율표)'!$D$6</f>
        <v>785.91077386837196</v>
      </c>
      <c r="K6" s="212">
        <v>1234.5</v>
      </c>
    </row>
    <row r="7" spans="1:12">
      <c r="A7" s="36">
        <v>44635</v>
      </c>
      <c r="B7" s="34" t="s">
        <v>166</v>
      </c>
      <c r="C7" s="33" t="s">
        <v>164</v>
      </c>
      <c r="D7" s="33" t="s">
        <v>165</v>
      </c>
      <c r="E7" s="33" t="s">
        <v>179</v>
      </c>
      <c r="F7" s="35"/>
      <c r="G7" s="38"/>
      <c r="H7" s="77"/>
      <c r="I7" s="89">
        <v>31000</v>
      </c>
      <c r="J7" s="86">
        <f>I7/'통장내역(환율표)'!$D$6</f>
        <v>4872.6467979839063</v>
      </c>
      <c r="K7" s="212">
        <v>1234.5</v>
      </c>
    </row>
    <row r="8" spans="1:12">
      <c r="A8" s="36">
        <v>44635</v>
      </c>
      <c r="B8" s="34" t="s">
        <v>167</v>
      </c>
      <c r="C8" s="33" t="s">
        <v>164</v>
      </c>
      <c r="D8" s="33" t="s">
        <v>168</v>
      </c>
      <c r="E8" s="2" t="s">
        <v>180</v>
      </c>
      <c r="F8" s="35" t="s">
        <v>169</v>
      </c>
      <c r="G8" s="38"/>
      <c r="H8" s="77"/>
      <c r="I8" s="89">
        <v>19440</v>
      </c>
      <c r="J8" s="86">
        <f>I8/'통장내역(환율표)'!$D$6</f>
        <v>3055.6210888002302</v>
      </c>
      <c r="K8" s="212">
        <v>1234.5</v>
      </c>
      <c r="L8">
        <f>J8*K8</f>
        <v>3772164.2341238842</v>
      </c>
    </row>
    <row r="9" spans="1:12">
      <c r="A9" s="36">
        <v>44641</v>
      </c>
      <c r="B9" s="34" t="s">
        <v>170</v>
      </c>
      <c r="C9" s="37" t="s">
        <v>51</v>
      </c>
      <c r="D9" s="33" t="s">
        <v>159</v>
      </c>
      <c r="E9" s="33"/>
      <c r="F9" s="35"/>
      <c r="G9" s="38">
        <v>0.35</v>
      </c>
      <c r="H9" s="77">
        <f>G9/'통장내역(환율표)'!$D$6</f>
        <v>5.5013754170786029E-2</v>
      </c>
      <c r="I9" s="89"/>
      <c r="J9" s="88"/>
      <c r="K9" s="212"/>
    </row>
    <row r="10" spans="1:12">
      <c r="A10" s="57">
        <v>44648</v>
      </c>
      <c r="B10" s="58" t="s">
        <v>171</v>
      </c>
      <c r="C10" s="60"/>
      <c r="D10" s="59"/>
      <c r="E10" s="59"/>
      <c r="F10" s="61"/>
      <c r="G10" s="62">
        <v>27194.531999999999</v>
      </c>
      <c r="H10" s="78">
        <v>4274.5</v>
      </c>
      <c r="I10" s="90"/>
      <c r="J10" s="91"/>
      <c r="K10" s="213"/>
    </row>
    <row r="11" spans="1:12">
      <c r="A11" s="57">
        <v>44648</v>
      </c>
      <c r="B11" s="58" t="s">
        <v>172</v>
      </c>
      <c r="C11" s="60"/>
      <c r="D11" s="59" t="s">
        <v>162</v>
      </c>
      <c r="E11" s="59"/>
      <c r="F11" s="61"/>
      <c r="G11" s="62"/>
      <c r="H11" s="78"/>
      <c r="I11" s="90">
        <f>J11*'통장내역(환율표)'!$D$6</f>
        <v>4654.536013031764</v>
      </c>
      <c r="J11" s="91">
        <v>731.61</v>
      </c>
      <c r="K11" s="213">
        <v>1274.5999999999999</v>
      </c>
    </row>
    <row r="12" spans="1:12">
      <c r="A12" s="46">
        <v>44649</v>
      </c>
      <c r="B12" s="52" t="s">
        <v>160</v>
      </c>
      <c r="C12" s="48" t="s">
        <v>51</v>
      </c>
      <c r="D12" s="47"/>
      <c r="E12" s="47"/>
      <c r="F12" s="49"/>
      <c r="G12" s="50">
        <v>55337.75</v>
      </c>
      <c r="H12" s="79">
        <v>8777</v>
      </c>
      <c r="I12" s="92"/>
      <c r="J12" s="93"/>
      <c r="K12" s="214"/>
    </row>
    <row r="13" spans="1:12">
      <c r="A13" s="46">
        <v>44649</v>
      </c>
      <c r="B13" s="52" t="s">
        <v>161</v>
      </c>
      <c r="C13" s="48" t="s">
        <v>51</v>
      </c>
      <c r="D13" s="47" t="s">
        <v>162</v>
      </c>
      <c r="E13" s="47"/>
      <c r="F13" s="49"/>
      <c r="G13" s="54"/>
      <c r="H13" s="79"/>
      <c r="I13" s="94"/>
      <c r="J13" s="93">
        <v>58</v>
      </c>
      <c r="K13" s="212">
        <v>1218.3</v>
      </c>
    </row>
    <row r="14" spans="1:12">
      <c r="A14" s="36">
        <v>44650</v>
      </c>
      <c r="B14" s="34" t="s">
        <v>173</v>
      </c>
      <c r="C14" s="33" t="s">
        <v>174</v>
      </c>
      <c r="D14" s="33" t="s">
        <v>162</v>
      </c>
      <c r="E14" s="217" t="s">
        <v>178</v>
      </c>
      <c r="F14" s="35"/>
      <c r="G14" s="38"/>
      <c r="H14" s="77"/>
      <c r="I14" s="202">
        <v>1680</v>
      </c>
      <c r="J14" s="208">
        <f>I14/'통장내역(환율표)'!$D$6</f>
        <v>264.06602001977296</v>
      </c>
      <c r="K14" s="212">
        <v>1234.5</v>
      </c>
      <c r="L14">
        <f>J14*K14</f>
        <v>325989.50171440974</v>
      </c>
    </row>
    <row r="15" spans="1:12">
      <c r="A15" s="149" t="s">
        <v>79</v>
      </c>
      <c r="B15" s="157" t="s">
        <v>104</v>
      </c>
      <c r="C15" s="150">
        <v>1</v>
      </c>
      <c r="D15" s="151" t="s">
        <v>105</v>
      </c>
      <c r="E15" s="151"/>
      <c r="F15" s="152" t="s">
        <v>106</v>
      </c>
      <c r="G15" s="153"/>
      <c r="H15" s="174"/>
      <c r="I15" s="176">
        <f>J15*'통장내역(환율표)'!$D$6</f>
        <v>5360.0253431758883</v>
      </c>
      <c r="J15" s="102">
        <v>842.50033308188961</v>
      </c>
      <c r="K15" s="212">
        <v>1234.5</v>
      </c>
      <c r="L15">
        <f>J15*K15</f>
        <v>1040066.6611895927</v>
      </c>
    </row>
    <row r="16" spans="1:12">
      <c r="A16" s="149" t="s">
        <v>79</v>
      </c>
      <c r="B16" s="157" t="s">
        <v>181</v>
      </c>
      <c r="C16" s="150">
        <v>1</v>
      </c>
      <c r="D16" s="151" t="s">
        <v>105</v>
      </c>
      <c r="E16" s="151"/>
      <c r="F16" s="152" t="s">
        <v>106</v>
      </c>
      <c r="G16" s="153"/>
      <c r="H16" s="174"/>
      <c r="I16" s="176">
        <f>19440-I15</f>
        <v>14079.974656824112</v>
      </c>
      <c r="J16" s="86">
        <f>I16/'통장내역(환율표)'!$D$6</f>
        <v>2213.1207557183402</v>
      </c>
      <c r="K16" s="211">
        <v>1234.5</v>
      </c>
      <c r="L16">
        <f>J16*K16</f>
        <v>2732097.5729342909</v>
      </c>
    </row>
    <row r="17" spans="1:12">
      <c r="A17" s="138" t="s">
        <v>80</v>
      </c>
      <c r="B17" s="159" t="s">
        <v>93</v>
      </c>
      <c r="C17" s="37">
        <v>2</v>
      </c>
      <c r="D17" s="33" t="s">
        <v>107</v>
      </c>
      <c r="E17" s="33"/>
      <c r="F17" s="35"/>
      <c r="G17" s="103"/>
      <c r="H17" s="77"/>
      <c r="I17" s="177">
        <v>1038.04</v>
      </c>
      <c r="J17" s="86">
        <f>I17/'통장내역(환율표)'!$D$6</f>
        <v>163.16136394126497</v>
      </c>
      <c r="K17" s="211">
        <v>1234.5</v>
      </c>
    </row>
    <row r="18" spans="1:12">
      <c r="A18" s="138" t="s">
        <v>80</v>
      </c>
      <c r="B18" s="159" t="s">
        <v>94</v>
      </c>
      <c r="C18" s="37">
        <v>3</v>
      </c>
      <c r="D18" s="33" t="s">
        <v>107</v>
      </c>
      <c r="E18" s="217" t="s">
        <v>178</v>
      </c>
      <c r="F18" s="35"/>
      <c r="G18" s="103"/>
      <c r="H18" s="104"/>
      <c r="I18" s="203">
        <v>299</v>
      </c>
      <c r="J18" s="209">
        <f>I18/'통장내역(환율표)'!$D$6</f>
        <v>46.997464277328639</v>
      </c>
      <c r="K18" s="211">
        <v>1234.5</v>
      </c>
      <c r="L18">
        <f>J18*K18</f>
        <v>58018.369650362205</v>
      </c>
    </row>
    <row r="19" spans="1:12">
      <c r="A19" s="138" t="s">
        <v>80</v>
      </c>
      <c r="B19" s="159" t="s">
        <v>95</v>
      </c>
      <c r="C19" s="37">
        <v>4</v>
      </c>
      <c r="D19" s="33" t="s">
        <v>107</v>
      </c>
      <c r="E19" s="217" t="s">
        <v>178</v>
      </c>
      <c r="F19" s="35"/>
      <c r="G19" s="38"/>
      <c r="H19" s="77"/>
      <c r="I19" s="203">
        <v>227.9</v>
      </c>
      <c r="J19" s="209">
        <f>I19/'통장내역(환율표)'!$D$6</f>
        <v>35.821813072920392</v>
      </c>
      <c r="K19" s="211">
        <v>1234.5</v>
      </c>
      <c r="L19">
        <f>J19*K19</f>
        <v>44222.028238520223</v>
      </c>
    </row>
    <row r="20" spans="1:12">
      <c r="A20" s="138" t="s">
        <v>80</v>
      </c>
      <c r="B20" s="159" t="s">
        <v>96</v>
      </c>
      <c r="C20" s="37">
        <v>5</v>
      </c>
      <c r="D20" s="33" t="s">
        <v>107</v>
      </c>
      <c r="E20" s="33"/>
      <c r="F20" s="35"/>
      <c r="G20" s="38"/>
      <c r="H20" s="77"/>
      <c r="I20" s="177">
        <v>212.41</v>
      </c>
      <c r="J20" s="86">
        <f>I20/'통장내역(환율표)'!$D$6</f>
        <v>33.387061495476175</v>
      </c>
      <c r="K20" s="211">
        <v>1234.5</v>
      </c>
    </row>
    <row r="21" spans="1:12">
      <c r="A21" s="138" t="s">
        <v>80</v>
      </c>
      <c r="B21" s="159" t="s">
        <v>97</v>
      </c>
      <c r="C21" s="37">
        <v>6</v>
      </c>
      <c r="D21" s="33" t="s">
        <v>107</v>
      </c>
      <c r="E21" s="217" t="s">
        <v>178</v>
      </c>
      <c r="F21" s="35"/>
      <c r="G21" s="38"/>
      <c r="H21" s="77"/>
      <c r="I21" s="203">
        <v>1798.9</v>
      </c>
      <c r="J21" s="209">
        <f>I21/'통장내역(환율표)'!$D$6</f>
        <v>282.75497822236287</v>
      </c>
      <c r="K21" s="211">
        <v>1234.5</v>
      </c>
      <c r="L21">
        <f t="shared" ref="L21:L28" si="0">J21*K21</f>
        <v>349061.02061550698</v>
      </c>
    </row>
    <row r="22" spans="1:12">
      <c r="A22" s="138" t="s">
        <v>80</v>
      </c>
      <c r="B22" s="159" t="s">
        <v>98</v>
      </c>
      <c r="C22" s="37">
        <v>7</v>
      </c>
      <c r="D22" s="33" t="s">
        <v>107</v>
      </c>
      <c r="E22" s="217" t="s">
        <v>178</v>
      </c>
      <c r="F22" s="35"/>
      <c r="G22" s="38"/>
      <c r="H22" s="77"/>
      <c r="I22" s="203">
        <v>3334</v>
      </c>
      <c r="J22" s="209">
        <f>I22/'통장내역(환율표)'!$D$6</f>
        <v>524.04530401543036</v>
      </c>
      <c r="K22" s="211">
        <v>1234.5</v>
      </c>
      <c r="L22">
        <f t="shared" si="0"/>
        <v>646933.92780704878</v>
      </c>
    </row>
    <row r="23" spans="1:12">
      <c r="A23" s="149" t="s">
        <v>80</v>
      </c>
      <c r="B23" s="157" t="s">
        <v>99</v>
      </c>
      <c r="C23" s="150">
        <v>8</v>
      </c>
      <c r="D23" s="151" t="s">
        <v>107</v>
      </c>
      <c r="E23" s="217" t="s">
        <v>177</v>
      </c>
      <c r="F23" s="152"/>
      <c r="G23" s="153"/>
      <c r="H23" s="174"/>
      <c r="I23" s="204">
        <f>J23*'통장내역(환율표)'!$D$6</f>
        <v>1549.8022635434429</v>
      </c>
      <c r="J23" s="206">
        <v>243.60125925687635</v>
      </c>
      <c r="K23" s="211">
        <v>1234.5</v>
      </c>
      <c r="L23">
        <f t="shared" si="0"/>
        <v>300725.75455261383</v>
      </c>
    </row>
    <row r="24" spans="1:12">
      <c r="A24" s="149" t="s">
        <v>80</v>
      </c>
      <c r="B24" s="157" t="s">
        <v>99</v>
      </c>
      <c r="C24" s="150">
        <v>8</v>
      </c>
      <c r="D24" s="151" t="s">
        <v>107</v>
      </c>
      <c r="E24" s="217" t="s">
        <v>177</v>
      </c>
      <c r="F24" s="152"/>
      <c r="G24" s="153"/>
      <c r="H24" s="174"/>
      <c r="I24" s="204">
        <f>2446-I23</f>
        <v>896.1977364565571</v>
      </c>
      <c r="J24" s="206">
        <f>I24/'통장내역(환율표)'!$D$6</f>
        <v>140.8662913195312</v>
      </c>
      <c r="K24" s="215">
        <v>1218.3</v>
      </c>
      <c r="L24">
        <f t="shared" si="0"/>
        <v>171617.40271458487</v>
      </c>
    </row>
    <row r="25" spans="1:12">
      <c r="A25" s="138" t="s">
        <v>80</v>
      </c>
      <c r="B25" s="159" t="s">
        <v>100</v>
      </c>
      <c r="C25" s="37">
        <v>9</v>
      </c>
      <c r="D25" s="33" t="s">
        <v>107</v>
      </c>
      <c r="E25" s="217" t="s">
        <v>177</v>
      </c>
      <c r="F25" s="35"/>
      <c r="G25" s="38"/>
      <c r="H25" s="77"/>
      <c r="I25" s="203">
        <v>1578</v>
      </c>
      <c r="J25" s="206">
        <f>I25/'통장내역(환율표)'!$D$6</f>
        <v>248.03344023285817</v>
      </c>
      <c r="K25" s="215">
        <v>1218.3</v>
      </c>
      <c r="L25">
        <f t="shared" si="0"/>
        <v>302179.1402356911</v>
      </c>
    </row>
    <row r="26" spans="1:12">
      <c r="A26" s="138" t="s">
        <v>80</v>
      </c>
      <c r="B26" s="159" t="s">
        <v>101</v>
      </c>
      <c r="C26" s="37">
        <v>10</v>
      </c>
      <c r="D26" s="33" t="s">
        <v>107</v>
      </c>
      <c r="E26" s="217" t="s">
        <v>178</v>
      </c>
      <c r="F26" s="35"/>
      <c r="G26" s="103"/>
      <c r="H26" s="77"/>
      <c r="I26" s="203">
        <v>3747</v>
      </c>
      <c r="J26" s="209">
        <f>I26/'통장내역(환율표)'!$D$6</f>
        <v>588.96153393695795</v>
      </c>
      <c r="K26" s="215">
        <v>1218.3</v>
      </c>
      <c r="L26">
        <f t="shared" si="0"/>
        <v>717531.83679539582</v>
      </c>
    </row>
    <row r="27" spans="1:12">
      <c r="A27" s="138" t="s">
        <v>80</v>
      </c>
      <c r="B27" s="159" t="s">
        <v>102</v>
      </c>
      <c r="C27" s="37">
        <v>11</v>
      </c>
      <c r="D27" s="33" t="s">
        <v>107</v>
      </c>
      <c r="E27" s="217" t="s">
        <v>178</v>
      </c>
      <c r="F27" s="35"/>
      <c r="G27" s="38"/>
      <c r="H27" s="77"/>
      <c r="I27" s="203">
        <v>3200</v>
      </c>
      <c r="J27" s="209">
        <f>I27/'통장내역(환율표)'!$D$6</f>
        <v>502.98289527575804</v>
      </c>
      <c r="K27" s="215">
        <v>1218.3</v>
      </c>
      <c r="L27">
        <f t="shared" si="0"/>
        <v>612784.06131445605</v>
      </c>
    </row>
    <row r="28" spans="1:12">
      <c r="A28" s="138" t="s">
        <v>80</v>
      </c>
      <c r="B28" s="159" t="s">
        <v>103</v>
      </c>
      <c r="C28" s="37">
        <v>12</v>
      </c>
      <c r="D28" s="33" t="s">
        <v>107</v>
      </c>
      <c r="E28" s="217" t="s">
        <v>177</v>
      </c>
      <c r="F28" s="35"/>
      <c r="G28" s="35"/>
      <c r="H28" s="159"/>
      <c r="I28" s="203">
        <v>345.42</v>
      </c>
      <c r="J28" s="207">
        <f>I28/'통장내역(환율표)'!$D$6</f>
        <v>54.293859901922609</v>
      </c>
      <c r="K28" s="215">
        <v>1218.3</v>
      </c>
      <c r="L28">
        <f t="shared" si="0"/>
        <v>66146.209518512318</v>
      </c>
    </row>
    <row r="29" spans="1:12">
      <c r="A29" s="138"/>
      <c r="B29" s="159" t="s">
        <v>112</v>
      </c>
      <c r="C29" s="37"/>
      <c r="D29" s="33" t="s">
        <v>21</v>
      </c>
      <c r="E29" s="33"/>
      <c r="F29" s="35"/>
      <c r="G29" s="103"/>
      <c r="H29" s="77"/>
      <c r="I29" s="177"/>
      <c r="J29" s="86">
        <v>3.6874654462444596</v>
      </c>
      <c r="K29" s="215">
        <v>1218.3</v>
      </c>
    </row>
    <row r="30" spans="1:12">
      <c r="A30" s="185"/>
      <c r="B30" s="186" t="s">
        <v>113</v>
      </c>
      <c r="C30" s="188"/>
      <c r="D30" s="189"/>
      <c r="E30" s="189"/>
      <c r="F30" s="190"/>
      <c r="G30" s="191">
        <v>16486.919999999998</v>
      </c>
      <c r="H30" s="192">
        <v>2487.7800000000002</v>
      </c>
      <c r="I30" s="193"/>
      <c r="J30" s="194"/>
      <c r="K30" s="215">
        <v>1218.3</v>
      </c>
    </row>
    <row r="31" spans="1:12">
      <c r="A31" s="185"/>
      <c r="B31" s="186" t="s">
        <v>114</v>
      </c>
      <c r="C31" s="188"/>
      <c r="D31" s="189" t="s">
        <v>138</v>
      </c>
      <c r="E31" s="189"/>
      <c r="F31" s="190"/>
      <c r="G31" s="191"/>
      <c r="H31" s="192"/>
      <c r="I31" s="193"/>
      <c r="J31" s="178">
        <v>28</v>
      </c>
      <c r="K31" s="215">
        <v>1218.3</v>
      </c>
    </row>
    <row r="32" spans="1:12">
      <c r="A32" s="36">
        <v>44692</v>
      </c>
      <c r="B32" s="159" t="s">
        <v>115</v>
      </c>
      <c r="C32" s="37"/>
      <c r="D32" s="33" t="s">
        <v>138</v>
      </c>
      <c r="E32" s="33" t="s">
        <v>182</v>
      </c>
      <c r="F32" s="35"/>
      <c r="G32" s="103"/>
      <c r="H32" s="77"/>
      <c r="I32" s="177">
        <v>17</v>
      </c>
      <c r="J32" s="86">
        <f>I32/'통장내역(환율표)'!$D$12</f>
        <v>2.6785151185221663</v>
      </c>
      <c r="K32" s="215">
        <v>1218.3</v>
      </c>
      <c r="L32" s="219">
        <f>J32*K32</f>
        <v>3263.2349688955551</v>
      </c>
    </row>
    <row r="33" spans="1:12">
      <c r="A33" s="36">
        <v>44692</v>
      </c>
      <c r="B33" s="159" t="s">
        <v>115</v>
      </c>
      <c r="C33" s="37"/>
      <c r="D33" s="33" t="s">
        <v>138</v>
      </c>
      <c r="E33" s="33" t="s">
        <v>182</v>
      </c>
      <c r="F33" s="35"/>
      <c r="G33" s="103"/>
      <c r="H33" s="77"/>
      <c r="I33" s="177">
        <v>80</v>
      </c>
      <c r="J33" s="86">
        <f>I33/'통장내역(환율표)'!$D$12</f>
        <v>12.604777028339607</v>
      </c>
      <c r="K33" s="215">
        <v>1218.3</v>
      </c>
      <c r="L33" s="219">
        <f>J33*K33</f>
        <v>15356.399853626142</v>
      </c>
    </row>
    <row r="34" spans="1:12">
      <c r="A34" s="36">
        <v>44705</v>
      </c>
      <c r="B34" s="159" t="s">
        <v>130</v>
      </c>
      <c r="C34" s="37">
        <v>1</v>
      </c>
      <c r="D34" s="33" t="s">
        <v>138</v>
      </c>
      <c r="E34" s="33"/>
      <c r="F34" s="35"/>
      <c r="G34" s="103"/>
      <c r="H34" s="77"/>
      <c r="I34" s="177">
        <v>300</v>
      </c>
      <c r="J34" s="86">
        <f>I34/'통장내역(환율표)'!$D$12</f>
        <v>47.267913856273523</v>
      </c>
      <c r="K34" s="215">
        <v>1218.3</v>
      </c>
    </row>
    <row r="35" spans="1:12">
      <c r="A35" s="36">
        <v>44705</v>
      </c>
      <c r="B35" s="159" t="s">
        <v>131</v>
      </c>
      <c r="C35" s="37">
        <v>2</v>
      </c>
      <c r="D35" s="33" t="s">
        <v>138</v>
      </c>
      <c r="E35" s="33"/>
      <c r="F35" s="35"/>
      <c r="G35" s="103"/>
      <c r="H35" s="77"/>
      <c r="I35" s="177">
        <v>7703.4</v>
      </c>
      <c r="J35" s="86">
        <f>I35/'통장내역(환율표)'!$D$12</f>
        <v>1213.7454920013915</v>
      </c>
      <c r="K35" s="215">
        <v>1218.3</v>
      </c>
    </row>
    <row r="36" spans="1:12">
      <c r="A36" s="36">
        <v>44705</v>
      </c>
      <c r="B36" s="159" t="s">
        <v>132</v>
      </c>
      <c r="C36" s="37">
        <v>2</v>
      </c>
      <c r="D36" s="33" t="s">
        <v>138</v>
      </c>
      <c r="E36" s="33"/>
      <c r="F36" s="35"/>
      <c r="G36" s="103"/>
      <c r="H36" s="77"/>
      <c r="I36" s="177">
        <v>13500</v>
      </c>
      <c r="J36" s="86">
        <f>I36/'통장내역(환율표)'!$D$12</f>
        <v>2127.0561235323084</v>
      </c>
      <c r="K36" s="215">
        <v>1218.3</v>
      </c>
    </row>
    <row r="37" spans="1:12">
      <c r="A37" s="36">
        <v>44705</v>
      </c>
      <c r="B37" s="159" t="s">
        <v>133</v>
      </c>
      <c r="C37" s="37">
        <v>2</v>
      </c>
      <c r="D37" s="33" t="s">
        <v>138</v>
      </c>
      <c r="E37" s="33"/>
      <c r="F37" s="35"/>
      <c r="G37" s="103"/>
      <c r="H37" s="77"/>
      <c r="I37" s="177">
        <v>2552.2899999999991</v>
      </c>
      <c r="J37" s="86">
        <f>I37/'통장내역(환율표)'!$D$12</f>
        <v>402.13807952076104</v>
      </c>
      <c r="K37" s="215">
        <v>1218.3</v>
      </c>
    </row>
    <row r="38" spans="1:12">
      <c r="A38" s="36">
        <v>44705</v>
      </c>
      <c r="B38" s="159" t="s">
        <v>134</v>
      </c>
      <c r="C38" s="37">
        <v>2</v>
      </c>
      <c r="D38" s="33" t="s">
        <v>138</v>
      </c>
      <c r="E38" s="33"/>
      <c r="F38" s="35"/>
      <c r="G38" s="103"/>
      <c r="H38" s="77"/>
      <c r="I38" s="177">
        <v>20000</v>
      </c>
      <c r="J38" s="86">
        <f>I38/'통장내역(환율표)'!$D$12</f>
        <v>3151.1942570849014</v>
      </c>
      <c r="K38" s="215">
        <v>1218.3</v>
      </c>
    </row>
    <row r="39" spans="1:12">
      <c r="A39" s="36">
        <v>44706</v>
      </c>
      <c r="B39" s="159" t="s">
        <v>115</v>
      </c>
      <c r="C39" s="37"/>
      <c r="D39" s="33" t="s">
        <v>138</v>
      </c>
      <c r="E39" s="33"/>
      <c r="F39" s="35"/>
      <c r="G39" s="103"/>
      <c r="H39" s="77"/>
      <c r="I39" s="177">
        <v>7.2</v>
      </c>
      <c r="J39" s="86">
        <f>I39/'통장내역(환율표)'!$D$12</f>
        <v>1.1344299325505647</v>
      </c>
      <c r="K39" s="215">
        <v>1218.3</v>
      </c>
    </row>
    <row r="40" spans="1:12">
      <c r="A40" s="36">
        <v>44706</v>
      </c>
      <c r="B40" s="159" t="s">
        <v>116</v>
      </c>
      <c r="C40" s="37">
        <v>3</v>
      </c>
      <c r="D40" s="33" t="s">
        <v>116</v>
      </c>
      <c r="E40" s="33"/>
      <c r="F40" s="35" t="s">
        <v>140</v>
      </c>
      <c r="G40" s="103"/>
      <c r="H40" s="77"/>
      <c r="I40" s="177">
        <v>500</v>
      </c>
      <c r="J40" s="86">
        <f>I40/'통장내역(환율표)'!$D$12</f>
        <v>78.779856427122539</v>
      </c>
      <c r="K40" s="215">
        <v>1218.3</v>
      </c>
    </row>
    <row r="41" spans="1:12">
      <c r="A41" s="36">
        <v>44706</v>
      </c>
      <c r="B41" s="159" t="s">
        <v>115</v>
      </c>
      <c r="C41" s="37"/>
      <c r="D41" s="33" t="s">
        <v>138</v>
      </c>
      <c r="E41" s="33"/>
      <c r="F41" s="35"/>
      <c r="G41" s="103"/>
      <c r="H41" s="77"/>
      <c r="I41" s="177">
        <v>3.6</v>
      </c>
      <c r="J41" s="86">
        <f>I41/'통장내역(환율표)'!$D$12</f>
        <v>0.56721496627528234</v>
      </c>
      <c r="K41" s="215">
        <v>1218.3</v>
      </c>
    </row>
    <row r="42" spans="1:12">
      <c r="A42" s="36">
        <v>44706</v>
      </c>
      <c r="B42" s="159" t="s">
        <v>117</v>
      </c>
      <c r="C42" s="37">
        <v>4</v>
      </c>
      <c r="D42" s="33" t="s">
        <v>116</v>
      </c>
      <c r="E42" s="33"/>
      <c r="F42" s="35" t="s">
        <v>140</v>
      </c>
      <c r="G42" s="103"/>
      <c r="H42" s="77"/>
      <c r="I42" s="177">
        <v>115.56</v>
      </c>
      <c r="J42" s="86">
        <f>I42/'통장내역(환율표)'!$D$12</f>
        <v>18.207600417436563</v>
      </c>
      <c r="K42" s="215">
        <v>1218.3</v>
      </c>
    </row>
    <row r="43" spans="1:12">
      <c r="A43" s="36">
        <v>44706</v>
      </c>
      <c r="B43" s="159" t="s">
        <v>115</v>
      </c>
      <c r="C43" s="37"/>
      <c r="D43" s="33" t="s">
        <v>138</v>
      </c>
      <c r="E43" s="33"/>
      <c r="F43" s="35"/>
      <c r="G43" s="103"/>
      <c r="H43" s="77"/>
      <c r="I43" s="177">
        <v>3.6</v>
      </c>
      <c r="J43" s="86">
        <f>I43/'통장내역(환율표)'!$D$12</f>
        <v>0.56721496627528234</v>
      </c>
      <c r="K43" s="215">
        <v>1218.3</v>
      </c>
    </row>
    <row r="44" spans="1:12">
      <c r="A44" s="36">
        <v>44706</v>
      </c>
      <c r="B44" s="159" t="s">
        <v>118</v>
      </c>
      <c r="C44" s="37">
        <v>5</v>
      </c>
      <c r="D44" s="33" t="s">
        <v>116</v>
      </c>
      <c r="E44" s="33"/>
      <c r="F44" s="35" t="s">
        <v>140</v>
      </c>
      <c r="G44" s="103"/>
      <c r="H44" s="77"/>
      <c r="I44" s="177">
        <v>399</v>
      </c>
      <c r="J44" s="86">
        <f>I44/'통장내역(환율표)'!$D$12</f>
        <v>62.866325428843787</v>
      </c>
      <c r="K44" s="215">
        <v>1218.3</v>
      </c>
    </row>
    <row r="45" spans="1:12">
      <c r="A45" s="36">
        <v>44706</v>
      </c>
      <c r="B45" s="159" t="s">
        <v>115</v>
      </c>
      <c r="C45" s="37"/>
      <c r="D45" s="33" t="s">
        <v>138</v>
      </c>
      <c r="E45" s="33"/>
      <c r="F45" s="35"/>
      <c r="G45" s="103"/>
      <c r="H45" s="77"/>
      <c r="I45" s="177">
        <v>3.6</v>
      </c>
      <c r="J45" s="86">
        <f>I45/'통장내역(환율표)'!$D$12</f>
        <v>0.56721496627528234</v>
      </c>
      <c r="K45" s="215">
        <v>1218.3</v>
      </c>
    </row>
    <row r="46" spans="1:12">
      <c r="A46" s="36">
        <v>44706</v>
      </c>
      <c r="B46" s="159" t="s">
        <v>119</v>
      </c>
      <c r="C46" s="37">
        <v>6</v>
      </c>
      <c r="D46" s="33" t="s">
        <v>138</v>
      </c>
      <c r="E46" s="33"/>
      <c r="F46" s="35"/>
      <c r="G46" s="103"/>
      <c r="H46" s="77"/>
      <c r="I46" s="177">
        <v>368.47</v>
      </c>
      <c r="J46" s="86">
        <f>I46/'통장내역(환율표)'!$D$12</f>
        <v>58.056027395403689</v>
      </c>
      <c r="K46" s="215">
        <v>1218.3</v>
      </c>
    </row>
    <row r="47" spans="1:12">
      <c r="A47" s="36">
        <v>44706</v>
      </c>
      <c r="B47" s="159" t="s">
        <v>115</v>
      </c>
      <c r="C47" s="37"/>
      <c r="D47" s="33" t="s">
        <v>138</v>
      </c>
      <c r="E47" s="33"/>
      <c r="F47" s="35"/>
      <c r="G47" s="103"/>
      <c r="H47" s="77"/>
      <c r="I47" s="177">
        <v>3.6</v>
      </c>
      <c r="J47" s="86">
        <f>I47/'통장내역(환율표)'!$D$12</f>
        <v>0.56721496627528234</v>
      </c>
      <c r="K47" s="215">
        <v>1218.3</v>
      </c>
    </row>
    <row r="48" spans="1:12">
      <c r="A48" s="57">
        <v>44706</v>
      </c>
      <c r="B48" s="181" t="s">
        <v>136</v>
      </c>
      <c r="C48" s="60">
        <v>7</v>
      </c>
      <c r="D48" s="59" t="s">
        <v>21</v>
      </c>
      <c r="E48" s="59"/>
      <c r="F48" s="61"/>
      <c r="G48" s="183"/>
      <c r="H48" s="78"/>
      <c r="I48" s="184">
        <f>J48*'통장내역(환율표)'!$D$12</f>
        <v>13.812263543427362</v>
      </c>
      <c r="J48" s="86">
        <v>2.1762562777695726</v>
      </c>
      <c r="K48" s="215">
        <v>1218.3</v>
      </c>
    </row>
    <row r="49" spans="1:11">
      <c r="A49" s="57">
        <v>44706</v>
      </c>
      <c r="B49" s="181" t="s">
        <v>137</v>
      </c>
      <c r="C49" s="60">
        <v>7</v>
      </c>
      <c r="D49" s="59" t="s">
        <v>21</v>
      </c>
      <c r="E49" s="59"/>
      <c r="F49" s="61"/>
      <c r="G49" s="183"/>
      <c r="H49" s="78"/>
      <c r="I49" s="184">
        <f>300-I48</f>
        <v>286.18773645657262</v>
      </c>
      <c r="J49" s="178">
        <f>I49/'통장내역(환율표)'!$D$18</f>
        <v>42.698021848904972</v>
      </c>
      <c r="K49" s="216">
        <v>1274.5999999999999</v>
      </c>
    </row>
    <row r="50" spans="1:11">
      <c r="A50" s="36">
        <v>44706</v>
      </c>
      <c r="B50" s="159" t="s">
        <v>115</v>
      </c>
      <c r="C50" s="37"/>
      <c r="D50" s="33" t="s">
        <v>138</v>
      </c>
      <c r="E50" s="33"/>
      <c r="F50" s="35"/>
      <c r="G50" s="103"/>
      <c r="H50" s="77"/>
      <c r="I50" s="177">
        <v>3.6</v>
      </c>
      <c r="J50" s="178">
        <f>I50/'통장내역(환율표)'!$D$18</f>
        <v>0.53710505054916269</v>
      </c>
      <c r="K50" s="216">
        <v>1274.5999999999999</v>
      </c>
    </row>
    <row r="51" spans="1:11">
      <c r="A51" s="36">
        <v>44706</v>
      </c>
      <c r="B51" s="159" t="s">
        <v>120</v>
      </c>
      <c r="C51" s="37">
        <v>8</v>
      </c>
      <c r="D51" s="33" t="s">
        <v>138</v>
      </c>
      <c r="E51" s="33"/>
      <c r="F51" s="35"/>
      <c r="G51" s="103"/>
      <c r="H51" s="77"/>
      <c r="I51" s="177">
        <v>1674</v>
      </c>
      <c r="J51" s="178">
        <f>I51/'통장내역(환율표)'!$D$18</f>
        <v>249.75384850536065</v>
      </c>
      <c r="K51" s="216">
        <v>1274.5999999999999</v>
      </c>
    </row>
    <row r="52" spans="1:11">
      <c r="A52" s="36">
        <v>44706</v>
      </c>
      <c r="B52" s="159" t="s">
        <v>115</v>
      </c>
      <c r="C52" s="37"/>
      <c r="D52" s="33" t="s">
        <v>138</v>
      </c>
      <c r="E52" s="33"/>
      <c r="F52" s="35"/>
      <c r="G52" s="103"/>
      <c r="H52" s="77"/>
      <c r="I52" s="177">
        <v>3.6</v>
      </c>
      <c r="J52" s="178">
        <f>I52/'통장내역(환율표)'!$D$18</f>
        <v>0.53710505054916269</v>
      </c>
      <c r="K52" s="216">
        <v>1274.5999999999999</v>
      </c>
    </row>
    <row r="53" spans="1:11">
      <c r="A53" s="36">
        <v>44706</v>
      </c>
      <c r="B53" s="159" t="s">
        <v>121</v>
      </c>
      <c r="C53" s="37">
        <v>9</v>
      </c>
      <c r="D53" s="33" t="s">
        <v>138</v>
      </c>
      <c r="E53" s="33"/>
      <c r="F53" s="35"/>
      <c r="G53" s="103"/>
      <c r="H53" s="77"/>
      <c r="I53" s="177">
        <v>550</v>
      </c>
      <c r="J53" s="178">
        <f>I53/'통장내역(환율표)'!$D$18</f>
        <v>82.057716056122075</v>
      </c>
      <c r="K53" s="216">
        <v>1274.5999999999999</v>
      </c>
    </row>
    <row r="54" spans="1:11">
      <c r="A54" s="36">
        <v>44706</v>
      </c>
      <c r="B54" s="159" t="s">
        <v>115</v>
      </c>
      <c r="C54" s="37"/>
      <c r="D54" s="33" t="s">
        <v>138</v>
      </c>
      <c r="E54" s="33"/>
      <c r="F54" s="35"/>
      <c r="G54" s="103"/>
      <c r="H54" s="77"/>
      <c r="I54" s="177">
        <v>3.6</v>
      </c>
      <c r="J54" s="178">
        <f>I54/'통장내역(환율표)'!$D$18</f>
        <v>0.53710505054916269</v>
      </c>
      <c r="K54" s="216">
        <v>1274.5999999999999</v>
      </c>
    </row>
    <row r="55" spans="1:11">
      <c r="A55" s="36">
        <v>44706</v>
      </c>
      <c r="B55" s="159" t="s">
        <v>122</v>
      </c>
      <c r="C55" s="37">
        <v>10</v>
      </c>
      <c r="D55" s="33" t="s">
        <v>138</v>
      </c>
      <c r="E55" s="33"/>
      <c r="F55" s="35"/>
      <c r="G55" s="103"/>
      <c r="H55" s="77"/>
      <c r="I55" s="177">
        <v>180</v>
      </c>
      <c r="J55" s="178">
        <f>I55/'통장내역(환율표)'!$D$18</f>
        <v>26.855252527458134</v>
      </c>
      <c r="K55" s="216">
        <v>1274.5999999999999</v>
      </c>
    </row>
    <row r="56" spans="1:11">
      <c r="A56" s="36">
        <v>44706</v>
      </c>
      <c r="B56" s="159" t="s">
        <v>115</v>
      </c>
      <c r="C56" s="37"/>
      <c r="D56" s="33" t="s">
        <v>138</v>
      </c>
      <c r="E56" s="33"/>
      <c r="F56" s="35"/>
      <c r="G56" s="103"/>
      <c r="H56" s="77"/>
      <c r="I56" s="177">
        <v>3.6</v>
      </c>
      <c r="J56" s="178">
        <f>I56/'통장내역(환율표)'!$D$18</f>
        <v>0.53710505054916269</v>
      </c>
      <c r="K56" s="216">
        <v>1274.5999999999999</v>
      </c>
    </row>
    <row r="57" spans="1:11">
      <c r="A57" s="36">
        <v>44706</v>
      </c>
      <c r="B57" s="159" t="s">
        <v>123</v>
      </c>
      <c r="C57" s="37">
        <v>11</v>
      </c>
      <c r="D57" s="33" t="s">
        <v>138</v>
      </c>
      <c r="E57" s="33"/>
      <c r="F57" s="35"/>
      <c r="G57" s="103"/>
      <c r="H57" s="77"/>
      <c r="I57" s="177">
        <v>270</v>
      </c>
      <c r="J57" s="178">
        <f>I57/'통장내역(환율표)'!$D$18</f>
        <v>40.282878791187201</v>
      </c>
      <c r="K57" s="216">
        <v>1274.5999999999999</v>
      </c>
    </row>
    <row r="58" spans="1:11">
      <c r="A58" s="36">
        <v>44706</v>
      </c>
      <c r="B58" s="159" t="s">
        <v>115</v>
      </c>
      <c r="C58" s="37"/>
      <c r="D58" s="33" t="s">
        <v>138</v>
      </c>
      <c r="E58" s="33"/>
      <c r="F58" s="35"/>
      <c r="G58" s="103"/>
      <c r="H58" s="77"/>
      <c r="I58" s="177">
        <v>3.6</v>
      </c>
      <c r="J58" s="178">
        <f>I58/'통장내역(환율표)'!$D$18</f>
        <v>0.53710505054916269</v>
      </c>
      <c r="K58" s="216">
        <v>1274.5999999999999</v>
      </c>
    </row>
    <row r="59" spans="1:11">
      <c r="A59" s="36">
        <v>44706</v>
      </c>
      <c r="B59" s="159" t="s">
        <v>124</v>
      </c>
      <c r="C59" s="37">
        <v>12</v>
      </c>
      <c r="D59" s="33" t="s">
        <v>138</v>
      </c>
      <c r="E59" s="33"/>
      <c r="F59" s="35"/>
      <c r="G59" s="103"/>
      <c r="H59" s="77"/>
      <c r="I59" s="177">
        <v>632.9</v>
      </c>
      <c r="J59" s="178">
        <f>I59/'통장내역(환율표)'!$D$18</f>
        <v>94.426051803490296</v>
      </c>
      <c r="K59" s="216">
        <v>1274.5999999999999</v>
      </c>
    </row>
    <row r="60" spans="1:11">
      <c r="A60" s="36">
        <v>44706</v>
      </c>
      <c r="B60" s="159" t="s">
        <v>115</v>
      </c>
      <c r="C60" s="37"/>
      <c r="D60" s="33" t="s">
        <v>138</v>
      </c>
      <c r="E60" s="33"/>
      <c r="F60" s="35"/>
      <c r="G60" s="103"/>
      <c r="H60" s="77"/>
      <c r="I60" s="177">
        <v>3.6</v>
      </c>
      <c r="J60" s="178">
        <f>I60/'통장내역(환율표)'!$D$18</f>
        <v>0.53710505054916269</v>
      </c>
      <c r="K60" s="216">
        <v>1274.5999999999999</v>
      </c>
    </row>
    <row r="61" spans="1:11">
      <c r="A61" s="36">
        <v>44706</v>
      </c>
      <c r="B61" s="159" t="s">
        <v>125</v>
      </c>
      <c r="C61" s="37">
        <v>13</v>
      </c>
      <c r="D61" s="33" t="s">
        <v>144</v>
      </c>
      <c r="E61" s="33"/>
      <c r="F61" s="35" t="s">
        <v>145</v>
      </c>
      <c r="G61" s="103"/>
      <c r="H61" s="77"/>
      <c r="I61" s="177">
        <v>1270</v>
      </c>
      <c r="J61" s="178">
        <f>I61/'통장내역(환율표)'!$D$18</f>
        <v>189.47872616595461</v>
      </c>
      <c r="K61" s="216">
        <v>1274.5999999999999</v>
      </c>
    </row>
    <row r="62" spans="1:11">
      <c r="A62" s="36">
        <v>44706</v>
      </c>
      <c r="B62" s="159" t="s">
        <v>126</v>
      </c>
      <c r="C62" s="37"/>
      <c r="D62" s="33" t="s">
        <v>138</v>
      </c>
      <c r="E62" s="33"/>
      <c r="F62" s="35"/>
      <c r="G62" s="103"/>
      <c r="H62" s="77"/>
      <c r="I62" s="177">
        <v>3.6</v>
      </c>
      <c r="J62" s="178">
        <f>I62/'통장내역(환율표)'!$D$18</f>
        <v>0.53710505054916269</v>
      </c>
      <c r="K62" s="216">
        <v>1274.5999999999999</v>
      </c>
    </row>
    <row r="63" spans="1:11">
      <c r="A63" s="36">
        <v>44706</v>
      </c>
      <c r="B63" s="159" t="s">
        <v>127</v>
      </c>
      <c r="C63" s="37">
        <v>14</v>
      </c>
      <c r="D63" s="33" t="s">
        <v>146</v>
      </c>
      <c r="E63" s="33"/>
      <c r="F63" s="35" t="s">
        <v>147</v>
      </c>
      <c r="G63" s="103"/>
      <c r="H63" s="77"/>
      <c r="I63" s="177">
        <v>7166</v>
      </c>
      <c r="J63" s="178">
        <f>I63/'통장내역(환율표)'!$D$18</f>
        <v>1069.1374422875833</v>
      </c>
      <c r="K63" s="216">
        <v>1274.5999999999999</v>
      </c>
    </row>
    <row r="64" spans="1:11">
      <c r="A64" s="36">
        <v>44706</v>
      </c>
      <c r="B64" s="159" t="s">
        <v>126</v>
      </c>
      <c r="C64" s="37"/>
      <c r="D64" s="33" t="s">
        <v>138</v>
      </c>
      <c r="E64" s="33"/>
      <c r="F64" s="35"/>
      <c r="G64" s="103"/>
      <c r="H64" s="77"/>
      <c r="I64" s="177">
        <v>3.6</v>
      </c>
      <c r="J64" s="178">
        <f>I64/'통장내역(환율표)'!$D$18</f>
        <v>0.53710505054916269</v>
      </c>
      <c r="K64" s="216">
        <v>1274.5999999999999</v>
      </c>
    </row>
    <row r="65" spans="1:12">
      <c r="A65" s="36">
        <v>44706</v>
      </c>
      <c r="B65" s="159" t="s">
        <v>128</v>
      </c>
      <c r="C65" s="37">
        <v>15</v>
      </c>
      <c r="D65" s="33" t="s">
        <v>144</v>
      </c>
      <c r="E65" s="33"/>
      <c r="F65" s="35" t="s">
        <v>145</v>
      </c>
      <c r="G65" s="103"/>
      <c r="H65" s="77"/>
      <c r="I65" s="177">
        <v>179</v>
      </c>
      <c r="J65" s="178">
        <f>I65/'통장내역(환율표)'!$D$18</f>
        <v>26.706056680083368</v>
      </c>
      <c r="K65" s="216">
        <v>1274.5999999999999</v>
      </c>
    </row>
    <row r="66" spans="1:12">
      <c r="A66" s="36">
        <v>44706</v>
      </c>
      <c r="B66" s="159" t="s">
        <v>126</v>
      </c>
      <c r="C66" s="37"/>
      <c r="D66" s="33" t="s">
        <v>138</v>
      </c>
      <c r="E66" s="33"/>
      <c r="F66" s="35"/>
      <c r="G66" s="103"/>
      <c r="H66" s="77"/>
      <c r="I66" s="177">
        <v>3.6</v>
      </c>
      <c r="J66" s="178">
        <f>I66/'통장내역(환율표)'!$D$18</f>
        <v>0.53710505054916269</v>
      </c>
      <c r="K66" s="216">
        <v>1274.5999999999999</v>
      </c>
    </row>
    <row r="67" spans="1:12">
      <c r="L67">
        <f>SUBTOTAL(9,L14:L66)</f>
        <v>7385993.1221035076</v>
      </c>
    </row>
  </sheetData>
  <autoFilter ref="A2:O66" xr:uid="{00000000-0009-0000-0000-000016000000}"/>
  <mergeCells count="7">
    <mergeCell ref="I1:J1"/>
    <mergeCell ref="A1:A2"/>
    <mergeCell ref="C1:C2"/>
    <mergeCell ref="D1:D2"/>
    <mergeCell ref="F1:F2"/>
    <mergeCell ref="G1:H1"/>
    <mergeCell ref="B1:B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54</vt:i4>
      </vt:variant>
      <vt:variant>
        <vt:lpstr>이름 지정된 범위</vt:lpstr>
      </vt:variant>
      <vt:variant>
        <vt:i4>2</vt:i4>
      </vt:variant>
    </vt:vector>
  </HeadingPairs>
  <TitlesOfParts>
    <vt:vector size="56" baseType="lpstr">
      <vt:lpstr>통장내역(환율표)</vt:lpstr>
      <vt:lpstr>내역_22.03</vt:lpstr>
      <vt:lpstr>내역_22.04</vt:lpstr>
      <vt:lpstr>내역_22.05</vt:lpstr>
      <vt:lpstr>내역_22.06</vt:lpstr>
      <vt:lpstr>내역_22.07</vt:lpstr>
      <vt:lpstr>내역_22.07 (수정)</vt:lpstr>
      <vt:lpstr>내역_22.08</vt:lpstr>
      <vt:lpstr>내역_22.09</vt:lpstr>
      <vt:lpstr>내역_22.10</vt:lpstr>
      <vt:lpstr>내역_22.11</vt:lpstr>
      <vt:lpstr>내역_22.12</vt:lpstr>
      <vt:lpstr>내역_23.01</vt:lpstr>
      <vt:lpstr>내역_23.02</vt:lpstr>
      <vt:lpstr>내역_23.03</vt:lpstr>
      <vt:lpstr>내역_23.04</vt:lpstr>
      <vt:lpstr>내역_23.05</vt:lpstr>
      <vt:lpstr>6월 업무추진비</vt:lpstr>
      <vt:lpstr>내역_23.06</vt:lpstr>
      <vt:lpstr>내역_23.07</vt:lpstr>
      <vt:lpstr>내역_23.08</vt:lpstr>
      <vt:lpstr>8월 기사 야근</vt:lpstr>
      <vt:lpstr>내역_23.09</vt:lpstr>
      <vt:lpstr>내역_23.10</vt:lpstr>
      <vt:lpstr>내역_23.11</vt:lpstr>
      <vt:lpstr>내역_23.12</vt:lpstr>
      <vt:lpstr>내역_24.01</vt:lpstr>
      <vt:lpstr>내역_24.02</vt:lpstr>
      <vt:lpstr>내역_24.03</vt:lpstr>
      <vt:lpstr>내역_24.04</vt:lpstr>
      <vt:lpstr>내역_24.05</vt:lpstr>
      <vt:lpstr>내역_24.06</vt:lpstr>
      <vt:lpstr>내역_24.07</vt:lpstr>
      <vt:lpstr>내역_24.08</vt:lpstr>
      <vt:lpstr>내역_24.09</vt:lpstr>
      <vt:lpstr>내역_24.10</vt:lpstr>
      <vt:lpstr>내역_24.11</vt:lpstr>
      <vt:lpstr>내역_24.12</vt:lpstr>
      <vt:lpstr>내역_25.01</vt:lpstr>
      <vt:lpstr>내역_25.02</vt:lpstr>
      <vt:lpstr>내역_25.03</vt:lpstr>
      <vt:lpstr>내역_25.04</vt:lpstr>
      <vt:lpstr>내역_25.05</vt:lpstr>
      <vt:lpstr>26.05</vt:lpstr>
      <vt:lpstr>통장지급내역</vt:lpstr>
      <vt:lpstr>당월 업무추진비</vt:lpstr>
      <vt:lpstr>기사 야근 일지</vt:lpstr>
      <vt:lpstr>업무추진비</vt:lpstr>
      <vt:lpstr>12월 업무추진비</vt:lpstr>
      <vt:lpstr>기사 야근일지</vt:lpstr>
      <vt:lpstr>9월 10월 기사 야근</vt:lpstr>
      <vt:lpstr>10월 업무추진비</vt:lpstr>
      <vt:lpstr>9월 업무추진비</vt:lpstr>
      <vt:lpstr>세부내역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정영욱 (JEONG YOUNG WOOK)</cp:lastModifiedBy>
  <cp:lastPrinted>2025-06-30T00:12:53Z</cp:lastPrinted>
  <dcterms:created xsi:type="dcterms:W3CDTF">2022-03-30T06:37:23Z</dcterms:created>
  <dcterms:modified xsi:type="dcterms:W3CDTF">2026-07-01T05:48:59Z</dcterms:modified>
</cp:coreProperties>
</file>